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405" windowWidth="12000" windowHeight="4560" tabRatio="959" activeTab="5"/>
  </bookViews>
  <sheets>
    <sheet name="Фінплан - зведені показники" sheetId="14" r:id="rId1"/>
    <sheet name="1.Фінансовий результат" sheetId="2" r:id="rId2"/>
    <sheet name="2. Розрахунки з бюджетом" sheetId="19" r:id="rId3"/>
    <sheet name="4. Кап. інвестиції" sheetId="3" r:id="rId4"/>
    <sheet name="5. Інша інформація" sheetId="10" r:id="rId5"/>
    <sheet name="зміни" sheetId="21" r:id="rId6"/>
    <sheet name="3. Рух грошових коштів" sheetId="18" r:id="rId7"/>
    <sheet name="Лист1" sheetId="2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123Graph_XGRAPH3" localSheetId="5" hidden="1">[1]GDP!#REF!</definedName>
    <definedName name="__123Graph_XGRAPH3" hidden="1">[1]GDP!#REF!</definedName>
    <definedName name="_xlnm._FilterDatabase" localSheetId="1" hidden="1">'1.Фінансовий результат'!$A$6:$N$121</definedName>
    <definedName name="_xlnm._FilterDatabase" localSheetId="5" hidden="1">зміни!$A$3:$N$118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5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5">#REF!</definedName>
    <definedName name="Cost_Category_National_ID">#REF!</definedName>
    <definedName name="Cе511" localSheetId="5">#REF!</definedName>
    <definedName name="Cе511">#REF!</definedName>
    <definedName name="d">'[9]МТР Газ України'!$B$4</definedName>
    <definedName name="dCPIb" localSheetId="5">[10]попер_роз!#REF!</definedName>
    <definedName name="dCPIb">[10]попер_роз!#REF!</definedName>
    <definedName name="dPPIb" localSheetId="5">[10]попер_роз!#REF!</definedName>
    <definedName name="dPPIb">[10]попер_роз!#REF!</definedName>
    <definedName name="ds" localSheetId="5">'[11]7  Інші витрати'!#REF!</definedName>
    <definedName name="ds">'[11]7  Інші витрати'!#REF!</definedName>
    <definedName name="Fact_Type_ID" localSheetId="5">#REF!</definedName>
    <definedName name="Fact_Type_ID">#REF!</definedName>
    <definedName name="G">'[12]МТР Газ України'!$B$1</definedName>
    <definedName name="ij1sssss" localSheetId="5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5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5">[14]!ShowFil</definedName>
    <definedName name="ShowFil">[14]!ShowFil</definedName>
    <definedName name="SU_ID" localSheetId="5">#REF!</definedName>
    <definedName name="SU_ID">#REF!</definedName>
    <definedName name="Time_ID">'[16]МТР Газ України'!$B$1</definedName>
    <definedName name="Time_ID_10" localSheetId="5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5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5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5">#REF!</definedName>
    <definedName name="yyyy">#REF!</definedName>
    <definedName name="zx">'[4]МТР Газ України'!$F$1</definedName>
    <definedName name="zxc">[5]Inform!$E$38</definedName>
    <definedName name="а" localSheetId="5">'[13]7  Інші витрати'!#REF!</definedName>
    <definedName name="а">'[13]7  Інші витрати'!#REF!</definedName>
    <definedName name="ав" localSheetId="5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5">'[27]БАЗА  '!#REF!</definedName>
    <definedName name="ватт">'[27]БАЗА  '!#REF!</definedName>
    <definedName name="Д">'[15]МТР Газ України'!$B$4</definedName>
    <definedName name="е" localSheetId="5">#REF!</definedName>
    <definedName name="е">#REF!</definedName>
    <definedName name="є" localSheetId="5">#REF!</definedName>
    <definedName name="є">#REF!</definedName>
    <definedName name="_xlnm.Print_Titles" localSheetId="1">'1.Фінансовий результат'!$8:$8</definedName>
    <definedName name="_xlnm.Print_Titles" localSheetId="2">'2. Розрахунки з бюджетом'!$6:$6</definedName>
    <definedName name="_xlnm.Print_Titles" localSheetId="6">'3. Рух грошових коштів'!$8:$8</definedName>
    <definedName name="_xlnm.Print_Titles" localSheetId="5">зміни!$5:$5</definedName>
    <definedName name="_xlnm.Print_Titles" localSheetId="0">'Фінплан - зведені показники'!$17:$17</definedName>
    <definedName name="Заголовки_для_печати_МИ">'[28]1993'!$A$1:$IV$3,'[28]1993'!$A$1:$A$65536</definedName>
    <definedName name="йуц" localSheetId="5">#REF!</definedName>
    <definedName name="йуц">#REF!</definedName>
    <definedName name="йцу" localSheetId="5">#REF!</definedName>
    <definedName name="йцу">#REF!</definedName>
    <definedName name="йцуйй" localSheetId="5">#REF!</definedName>
    <definedName name="йцуйй">#REF!</definedName>
    <definedName name="йцукц" localSheetId="5">'[29]7  Інші витрати'!#REF!</definedName>
    <definedName name="йцукц">'[29]7  Інші витрати'!#REF!</definedName>
    <definedName name="і">[30]Inform!$F$2</definedName>
    <definedName name="ів" localSheetId="5">#REF!</definedName>
    <definedName name="ів">#REF!</definedName>
    <definedName name="ів___0" localSheetId="5">#REF!</definedName>
    <definedName name="ів___0">#REF!</definedName>
    <definedName name="ів_22" localSheetId="5">#REF!</definedName>
    <definedName name="ів_22">#REF!</definedName>
    <definedName name="ів_26" localSheetId="5">#REF!</definedName>
    <definedName name="ів_26">#REF!</definedName>
    <definedName name="іваіа" localSheetId="5">'[29]7  Інші витрати'!#REF!</definedName>
    <definedName name="іваіа">'[29]7  Інші витрати'!#REF!</definedName>
    <definedName name="іваф" localSheetId="5">#REF!</definedName>
    <definedName name="іваф">#REF!</definedName>
    <definedName name="івів">'[12]МТР Газ України'!$B$1</definedName>
    <definedName name="іцу">[23]Inform!$G$2</definedName>
    <definedName name="КЕ" localSheetId="5">#REF!</definedName>
    <definedName name="КЕ">#REF!</definedName>
    <definedName name="КЕ___0" localSheetId="5">#REF!</definedName>
    <definedName name="КЕ___0">#REF!</definedName>
    <definedName name="КЕ_22" localSheetId="5">#REF!</definedName>
    <definedName name="КЕ_22">#REF!</definedName>
    <definedName name="КЕ_26" localSheetId="5">#REF!</definedName>
    <definedName name="КЕ_26">#REF!</definedName>
    <definedName name="кен" localSheetId="5">#REF!</definedName>
    <definedName name="кен">#REF!</definedName>
    <definedName name="л" localSheetId="5">#REF!</definedName>
    <definedName name="л">#REF!</definedName>
    <definedName name="_xlnm.Print_Area" localSheetId="1">'1.Фінансовий результат'!$A$1:$N$126</definedName>
    <definedName name="_xlnm.Print_Area" localSheetId="2">'2. Розрахунки з бюджетом'!$A$1:$N$39</definedName>
    <definedName name="_xlnm.Print_Area" localSheetId="6">'3. Рух грошових коштів'!$A$1:$J$73</definedName>
    <definedName name="_xlnm.Print_Area" localSheetId="3">'4. Кап. інвестиції'!$A$1:$N$19</definedName>
    <definedName name="_xlnm.Print_Area" localSheetId="4">'5. Інша інформація'!$A$1:$W$117</definedName>
    <definedName name="_xlnm.Print_Area" localSheetId="5">зміни!$A$1:$P$121</definedName>
    <definedName name="_xlnm.Print_Area" localSheetId="0">'Фінплан - зведені показники'!$A$1:$N$53</definedName>
    <definedName name="п" localSheetId="5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5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5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5">#REF!</definedName>
    <definedName name="р">#REF!</definedName>
    <definedName name="т">[32]Inform!$E$6</definedName>
    <definedName name="тариф">[33]Inform!$G$2</definedName>
    <definedName name="уйцукйцуйу" localSheetId="5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5">'[29]7  Інші витрати'!#REF!</definedName>
    <definedName name="фіваіф">'[29]7  Інші витрати'!#REF!</definedName>
    <definedName name="фф">'[26]МТР Газ України'!$F$1</definedName>
    <definedName name="ц" localSheetId="5">'[13]7  Інші витрати'!#REF!</definedName>
    <definedName name="ц">'[13]7  Інші витрати'!#REF!</definedName>
    <definedName name="ччч" localSheetId="5">'[35]БАЗА  '!#REF!</definedName>
    <definedName name="ччч">'[35]БАЗА  '!#REF!</definedName>
    <definedName name="ш" localSheetId="5">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I16" i="19" l="1"/>
  <c r="N94" i="21" l="1"/>
  <c r="M94" i="21"/>
  <c r="L94" i="21"/>
  <c r="K94" i="21"/>
  <c r="G94" i="21"/>
  <c r="H94" i="21" s="1"/>
  <c r="E94" i="21"/>
  <c r="N97" i="2"/>
  <c r="M97" i="2"/>
  <c r="L97" i="2"/>
  <c r="K97" i="2"/>
  <c r="J97" i="2" s="1"/>
  <c r="J94" i="21" s="1"/>
  <c r="O94" i="21" s="1"/>
  <c r="G97" i="2"/>
  <c r="H97" i="2" s="1"/>
  <c r="E97" i="2"/>
  <c r="N94" i="2"/>
  <c r="M94" i="2"/>
  <c r="L94" i="2"/>
  <c r="K94" i="2"/>
  <c r="K29" i="2" l="1"/>
  <c r="N25" i="2" l="1"/>
  <c r="M25" i="2"/>
  <c r="L25" i="2"/>
  <c r="K25" i="2"/>
  <c r="N93" i="2" l="1"/>
  <c r="N92" i="2" s="1"/>
  <c r="N91" i="2" s="1"/>
  <c r="L93" i="2"/>
  <c r="L92" i="2" s="1"/>
  <c r="L91" i="2" s="1"/>
  <c r="M93" i="2"/>
  <c r="M92" i="2" s="1"/>
  <c r="M91" i="2" s="1"/>
  <c r="K93" i="2" l="1"/>
  <c r="H35" i="19" l="1"/>
  <c r="F35" i="19"/>
  <c r="O41" i="10" l="1"/>
  <c r="G41" i="10" s="1"/>
  <c r="O43" i="10"/>
  <c r="K31" i="10"/>
  <c r="K11" i="10"/>
  <c r="F33" i="10"/>
  <c r="F32" i="10"/>
  <c r="F31" i="10"/>
  <c r="F29" i="10"/>
  <c r="F28" i="10"/>
  <c r="F27" i="10"/>
  <c r="F25" i="10"/>
  <c r="F24" i="10"/>
  <c r="F23" i="10"/>
  <c r="F20" i="10"/>
  <c r="F21" i="10"/>
  <c r="F19" i="10"/>
  <c r="F13" i="10"/>
  <c r="F14" i="10"/>
  <c r="F15" i="10"/>
  <c r="F16" i="10"/>
  <c r="F17" i="10"/>
  <c r="F12" i="10"/>
  <c r="H11" i="3"/>
  <c r="H12" i="3"/>
  <c r="H13" i="3"/>
  <c r="H14" i="3"/>
  <c r="H10" i="3"/>
  <c r="H30" i="19"/>
  <c r="H29" i="19"/>
  <c r="H28" i="19"/>
  <c r="H27" i="19"/>
  <c r="H34" i="19"/>
  <c r="H33" i="19"/>
  <c r="H32" i="19"/>
  <c r="H26" i="19"/>
  <c r="H21" i="19"/>
  <c r="H20" i="19"/>
  <c r="H107" i="2"/>
  <c r="H105" i="2"/>
  <c r="H104" i="2"/>
  <c r="H100" i="2"/>
  <c r="H96" i="2"/>
  <c r="H94" i="2"/>
  <c r="H93" i="2"/>
  <c r="H88" i="2"/>
  <c r="H87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7" i="2"/>
  <c r="H56" i="2"/>
  <c r="H55" i="2"/>
  <c r="H54" i="2"/>
  <c r="H53" i="2"/>
  <c r="H52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4" i="2"/>
  <c r="H33" i="2"/>
  <c r="H32" i="2"/>
  <c r="H29" i="2"/>
  <c r="H28" i="2"/>
  <c r="H21" i="2"/>
  <c r="H22" i="2"/>
  <c r="H23" i="2"/>
  <c r="H24" i="2"/>
  <c r="H25" i="2"/>
  <c r="H26" i="2"/>
  <c r="H20" i="2"/>
  <c r="H16" i="2"/>
  <c r="H14" i="2"/>
  <c r="M41" i="10" s="1"/>
  <c r="H11" i="2"/>
  <c r="M42" i="10" s="1"/>
  <c r="M43" i="10" l="1"/>
  <c r="F41" i="10"/>
  <c r="F42" i="10"/>
  <c r="N44" i="2"/>
  <c r="M44" i="2"/>
  <c r="L44" i="2"/>
  <c r="N43" i="2"/>
  <c r="M43" i="2"/>
  <c r="L43" i="2"/>
  <c r="H17" i="10" l="1"/>
  <c r="H31" i="10"/>
  <c r="K23" i="2"/>
  <c r="N23" i="2"/>
  <c r="M23" i="2"/>
  <c r="K43" i="2"/>
  <c r="L23" i="2"/>
  <c r="O107" i="21" l="1"/>
  <c r="O110" i="21"/>
  <c r="J99" i="21"/>
  <c r="O99" i="21" s="1"/>
  <c r="J82" i="21"/>
  <c r="O82" i="21" s="1"/>
  <c r="J81" i="21"/>
  <c r="O81" i="21" s="1"/>
  <c r="J79" i="21"/>
  <c r="O79" i="21" s="1"/>
  <c r="J77" i="21"/>
  <c r="O77" i="21" s="1"/>
  <c r="J76" i="21"/>
  <c r="O76" i="21" s="1"/>
  <c r="J75" i="21"/>
  <c r="O75" i="21" s="1"/>
  <c r="J74" i="21"/>
  <c r="O74" i="21" s="1"/>
  <c r="J73" i="21"/>
  <c r="O73" i="21" s="1"/>
  <c r="J72" i="21"/>
  <c r="O72" i="21" s="1"/>
  <c r="J48" i="21"/>
  <c r="O48" i="21" s="1"/>
  <c r="J14" i="21"/>
  <c r="O14" i="21" s="1"/>
  <c r="J12" i="21"/>
  <c r="O12" i="21" s="1"/>
  <c r="J9" i="21"/>
  <c r="O9" i="21" s="1"/>
  <c r="G105" i="21"/>
  <c r="H105" i="21" s="1"/>
  <c r="F105" i="21"/>
  <c r="D105" i="21"/>
  <c r="G104" i="21"/>
  <c r="F104" i="21"/>
  <c r="D104" i="21"/>
  <c r="K102" i="21"/>
  <c r="K100" i="21" s="1"/>
  <c r="G102" i="21"/>
  <c r="H102" i="21" s="1"/>
  <c r="F102" i="21"/>
  <c r="E102" i="21"/>
  <c r="D102" i="21"/>
  <c r="G101" i="21"/>
  <c r="H101" i="21" s="1"/>
  <c r="H100" i="21" s="1"/>
  <c r="F101" i="21"/>
  <c r="E101" i="21"/>
  <c r="E100" i="21" s="1"/>
  <c r="D101" i="21"/>
  <c r="C101" i="21"/>
  <c r="C100" i="21" s="1"/>
  <c r="F100" i="21"/>
  <c r="G98" i="21"/>
  <c r="F98" i="21"/>
  <c r="E98" i="21"/>
  <c r="D98" i="21"/>
  <c r="K97" i="21"/>
  <c r="G97" i="21"/>
  <c r="H97" i="21" s="1"/>
  <c r="F97" i="21"/>
  <c r="E97" i="21"/>
  <c r="D97" i="21"/>
  <c r="C97" i="21"/>
  <c r="C96" i="21" s="1"/>
  <c r="F95" i="21"/>
  <c r="D95" i="21"/>
  <c r="K93" i="21"/>
  <c r="K26" i="21" s="1"/>
  <c r="G93" i="21"/>
  <c r="H93" i="21" s="1"/>
  <c r="F93" i="21"/>
  <c r="G92" i="21"/>
  <c r="E92" i="21"/>
  <c r="N91" i="21"/>
  <c r="M91" i="21"/>
  <c r="L91" i="21"/>
  <c r="K91" i="21"/>
  <c r="G91" i="21"/>
  <c r="H91" i="21" s="1"/>
  <c r="F91" i="21"/>
  <c r="E91" i="21"/>
  <c r="N90" i="21"/>
  <c r="N89" i="21" s="1"/>
  <c r="M90" i="21"/>
  <c r="L90" i="21"/>
  <c r="L89" i="21" s="1"/>
  <c r="K90" i="21"/>
  <c r="K89" i="21" s="1"/>
  <c r="G90" i="21"/>
  <c r="H90" i="21" s="1"/>
  <c r="H89" i="21" s="1"/>
  <c r="F90" i="21"/>
  <c r="F89" i="21" s="1"/>
  <c r="E90" i="21"/>
  <c r="E89" i="21" s="1"/>
  <c r="M89" i="21"/>
  <c r="D89" i="21"/>
  <c r="C89" i="21"/>
  <c r="D88" i="21"/>
  <c r="D91" i="21" s="1"/>
  <c r="C88" i="21"/>
  <c r="C87" i="21" s="1"/>
  <c r="L85" i="21"/>
  <c r="M85" i="21" s="1"/>
  <c r="N85" i="21" s="1"/>
  <c r="G85" i="21"/>
  <c r="H85" i="21" s="1"/>
  <c r="F85" i="21"/>
  <c r="E85" i="21"/>
  <c r="G84" i="21"/>
  <c r="H84" i="21" s="1"/>
  <c r="F84" i="21"/>
  <c r="G82" i="21"/>
  <c r="H82" i="21" s="1"/>
  <c r="F82" i="21"/>
  <c r="D82" i="21"/>
  <c r="G81" i="21"/>
  <c r="H81" i="21" s="1"/>
  <c r="F81" i="21"/>
  <c r="D81" i="21"/>
  <c r="G80" i="21"/>
  <c r="H80" i="21" s="1"/>
  <c r="F80" i="21"/>
  <c r="E80" i="21"/>
  <c r="D80" i="21"/>
  <c r="G79" i="21"/>
  <c r="H79" i="21" s="1"/>
  <c r="F79" i="21"/>
  <c r="D79" i="21"/>
  <c r="G77" i="21"/>
  <c r="H77" i="21" s="1"/>
  <c r="F77" i="21"/>
  <c r="D77" i="21"/>
  <c r="G76" i="21"/>
  <c r="H76" i="21" s="1"/>
  <c r="F76" i="21"/>
  <c r="D76" i="21"/>
  <c r="G75" i="21"/>
  <c r="H75" i="21" s="1"/>
  <c r="F75" i="21"/>
  <c r="D75" i="21"/>
  <c r="G74" i="21"/>
  <c r="H74" i="21" s="1"/>
  <c r="F74" i="21"/>
  <c r="D74" i="21"/>
  <c r="G73" i="21"/>
  <c r="H73" i="21" s="1"/>
  <c r="F73" i="21"/>
  <c r="D73" i="21"/>
  <c r="G72" i="21"/>
  <c r="H72" i="21" s="1"/>
  <c r="F72" i="21"/>
  <c r="D72" i="21"/>
  <c r="N71" i="21"/>
  <c r="M71" i="21"/>
  <c r="L71" i="21"/>
  <c r="K71" i="21"/>
  <c r="E71" i="21"/>
  <c r="C71" i="21"/>
  <c r="N70" i="21"/>
  <c r="M70" i="21"/>
  <c r="L70" i="21"/>
  <c r="G70" i="21"/>
  <c r="H70" i="21" s="1"/>
  <c r="F70" i="21"/>
  <c r="E70" i="21"/>
  <c r="L69" i="21"/>
  <c r="M69" i="21" s="1"/>
  <c r="G69" i="21"/>
  <c r="H69" i="21" s="1"/>
  <c r="F69" i="21"/>
  <c r="E69" i="21"/>
  <c r="N68" i="21"/>
  <c r="M68" i="21"/>
  <c r="L68" i="21"/>
  <c r="K68" i="21"/>
  <c r="G68" i="21"/>
  <c r="H68" i="21" s="1"/>
  <c r="F68" i="21"/>
  <c r="E68" i="21"/>
  <c r="G67" i="21"/>
  <c r="H67" i="21" s="1"/>
  <c r="F67" i="21"/>
  <c r="E67" i="21"/>
  <c r="N66" i="21"/>
  <c r="M66" i="21"/>
  <c r="L66" i="21"/>
  <c r="G66" i="21"/>
  <c r="H66" i="21" s="1"/>
  <c r="F66" i="21"/>
  <c r="E66" i="21"/>
  <c r="N65" i="21"/>
  <c r="M65" i="21"/>
  <c r="L65" i="21"/>
  <c r="G65" i="21"/>
  <c r="H65" i="21" s="1"/>
  <c r="F65" i="21"/>
  <c r="E65" i="21"/>
  <c r="K64" i="21"/>
  <c r="M64" i="21" s="1"/>
  <c r="G64" i="21"/>
  <c r="H64" i="21" s="1"/>
  <c r="F64" i="21"/>
  <c r="E64" i="21"/>
  <c r="D64" i="21"/>
  <c r="C64" i="21"/>
  <c r="N63" i="21"/>
  <c r="M63" i="21"/>
  <c r="L63" i="21"/>
  <c r="G63" i="21"/>
  <c r="H63" i="21" s="1"/>
  <c r="F63" i="21"/>
  <c r="E63" i="21"/>
  <c r="D63" i="21"/>
  <c r="C63" i="21"/>
  <c r="N62" i="21"/>
  <c r="M62" i="21"/>
  <c r="L62" i="21"/>
  <c r="G62" i="21"/>
  <c r="H62" i="21" s="1"/>
  <c r="F62" i="21"/>
  <c r="E62" i="21"/>
  <c r="D62" i="21"/>
  <c r="C62" i="21"/>
  <c r="G61" i="21"/>
  <c r="H61" i="21" s="1"/>
  <c r="F61" i="21"/>
  <c r="E61" i="21"/>
  <c r="D61" i="21"/>
  <c r="C61" i="21"/>
  <c r="K60" i="21"/>
  <c r="M60" i="21" s="1"/>
  <c r="G60" i="21"/>
  <c r="H60" i="21" s="1"/>
  <c r="F60" i="21"/>
  <c r="E60" i="21"/>
  <c r="D60" i="21"/>
  <c r="G59" i="21"/>
  <c r="H59" i="21" s="1"/>
  <c r="F59" i="21"/>
  <c r="E59" i="21"/>
  <c r="D59" i="21"/>
  <c r="K58" i="21"/>
  <c r="M58" i="21" s="1"/>
  <c r="G58" i="21"/>
  <c r="F58" i="21"/>
  <c r="E58" i="21"/>
  <c r="D58" i="21"/>
  <c r="C58" i="21"/>
  <c r="N57" i="21"/>
  <c r="M57" i="21"/>
  <c r="L57" i="21"/>
  <c r="G57" i="21"/>
  <c r="H57" i="21" s="1"/>
  <c r="F57" i="21"/>
  <c r="E57" i="21"/>
  <c r="D57" i="21"/>
  <c r="C57" i="21"/>
  <c r="H56" i="21"/>
  <c r="G56" i="21"/>
  <c r="F56" i="21"/>
  <c r="E56" i="21"/>
  <c r="D56" i="21"/>
  <c r="C56" i="21"/>
  <c r="H54" i="21"/>
  <c r="G54" i="21"/>
  <c r="F54" i="21"/>
  <c r="E54" i="21"/>
  <c r="D54" i="21"/>
  <c r="C54" i="21"/>
  <c r="G53" i="21"/>
  <c r="H53" i="21" s="1"/>
  <c r="F53" i="21"/>
  <c r="E53" i="21"/>
  <c r="D53" i="21"/>
  <c r="C53" i="21"/>
  <c r="G52" i="21"/>
  <c r="H52" i="21" s="1"/>
  <c r="F52" i="21"/>
  <c r="E52" i="21"/>
  <c r="D52" i="21"/>
  <c r="C52" i="21"/>
  <c r="K51" i="21"/>
  <c r="M51" i="21" s="1"/>
  <c r="G51" i="21"/>
  <c r="H51" i="21" s="1"/>
  <c r="F51" i="21"/>
  <c r="E51" i="21"/>
  <c r="D51" i="21"/>
  <c r="C51" i="21"/>
  <c r="N50" i="21"/>
  <c r="K50" i="21"/>
  <c r="G50" i="21"/>
  <c r="H50" i="21" s="1"/>
  <c r="F50" i="21"/>
  <c r="E50" i="21"/>
  <c r="D50" i="21"/>
  <c r="C50" i="21"/>
  <c r="G49" i="21"/>
  <c r="H49" i="21" s="1"/>
  <c r="F49" i="21"/>
  <c r="E49" i="21"/>
  <c r="D49" i="21"/>
  <c r="C49" i="21"/>
  <c r="K47" i="21"/>
  <c r="M47" i="21" s="1"/>
  <c r="G47" i="21"/>
  <c r="H47" i="21" s="1"/>
  <c r="F47" i="21"/>
  <c r="E47" i="21"/>
  <c r="D47" i="21"/>
  <c r="K46" i="21"/>
  <c r="G46" i="21"/>
  <c r="H46" i="21" s="1"/>
  <c r="F46" i="21"/>
  <c r="E46" i="21"/>
  <c r="D46" i="21"/>
  <c r="C46" i="21"/>
  <c r="G45" i="21"/>
  <c r="H45" i="21" s="1"/>
  <c r="F45" i="21"/>
  <c r="E45" i="21"/>
  <c r="D45" i="21"/>
  <c r="C45" i="21"/>
  <c r="N44" i="21"/>
  <c r="M44" i="21"/>
  <c r="L44" i="21"/>
  <c r="K44" i="21"/>
  <c r="G44" i="21"/>
  <c r="H44" i="21" s="1"/>
  <c r="F44" i="21"/>
  <c r="E44" i="21"/>
  <c r="D44" i="21"/>
  <c r="C44" i="21"/>
  <c r="G43" i="21"/>
  <c r="H43" i="21" s="1"/>
  <c r="F43" i="21"/>
  <c r="E43" i="21"/>
  <c r="D43" i="21"/>
  <c r="C43" i="21"/>
  <c r="K42" i="21"/>
  <c r="G42" i="21"/>
  <c r="H42" i="21" s="1"/>
  <c r="F42" i="21"/>
  <c r="E42" i="21"/>
  <c r="D42" i="21"/>
  <c r="C42" i="21"/>
  <c r="N41" i="21"/>
  <c r="M41" i="21"/>
  <c r="L41" i="21"/>
  <c r="K41" i="21"/>
  <c r="G41" i="21"/>
  <c r="H41" i="21" s="1"/>
  <c r="F41" i="21"/>
  <c r="E41" i="21"/>
  <c r="D41" i="21"/>
  <c r="C41" i="21"/>
  <c r="N40" i="21"/>
  <c r="M40" i="21"/>
  <c r="L40" i="21"/>
  <c r="K40" i="21"/>
  <c r="G40" i="21"/>
  <c r="H40" i="21" s="1"/>
  <c r="F40" i="21"/>
  <c r="E40" i="21"/>
  <c r="D40" i="21"/>
  <c r="C40" i="21"/>
  <c r="N39" i="21"/>
  <c r="M39" i="21"/>
  <c r="L39" i="21"/>
  <c r="G39" i="21"/>
  <c r="H39" i="21" s="1"/>
  <c r="F39" i="21"/>
  <c r="E39" i="21"/>
  <c r="D39" i="21"/>
  <c r="C39" i="21"/>
  <c r="G38" i="21"/>
  <c r="H38" i="21" s="1"/>
  <c r="F38" i="21"/>
  <c r="E38" i="21"/>
  <c r="D38" i="21"/>
  <c r="N37" i="21"/>
  <c r="G37" i="21"/>
  <c r="H37" i="21" s="1"/>
  <c r="F37" i="21"/>
  <c r="E37" i="21"/>
  <c r="D37" i="21"/>
  <c r="C37" i="21"/>
  <c r="G36" i="21"/>
  <c r="H36" i="21" s="1"/>
  <c r="F36" i="21"/>
  <c r="E36" i="21"/>
  <c r="D36" i="21"/>
  <c r="G35" i="21"/>
  <c r="H35" i="21" s="1"/>
  <c r="F35" i="21"/>
  <c r="E35" i="21"/>
  <c r="D35" i="21"/>
  <c r="G34" i="21"/>
  <c r="H34" i="21" s="1"/>
  <c r="F34" i="21"/>
  <c r="E34" i="21"/>
  <c r="D34" i="21"/>
  <c r="G33" i="21"/>
  <c r="H33" i="21" s="1"/>
  <c r="F33" i="21"/>
  <c r="E33" i="21"/>
  <c r="D33" i="21"/>
  <c r="G31" i="21"/>
  <c r="H31" i="21" s="1"/>
  <c r="F31" i="21"/>
  <c r="E31" i="21"/>
  <c r="D31" i="21"/>
  <c r="K30" i="21"/>
  <c r="L30" i="21" s="1"/>
  <c r="G30" i="21"/>
  <c r="H30" i="21" s="1"/>
  <c r="F30" i="21"/>
  <c r="E30" i="21"/>
  <c r="D30" i="21"/>
  <c r="N29" i="21"/>
  <c r="N84" i="21" s="1"/>
  <c r="M29" i="21"/>
  <c r="M84" i="21" s="1"/>
  <c r="L29" i="21"/>
  <c r="L84" i="21" s="1"/>
  <c r="K29" i="21"/>
  <c r="K84" i="21" s="1"/>
  <c r="K83" i="21" s="1"/>
  <c r="K78" i="21" s="1"/>
  <c r="G29" i="21"/>
  <c r="H29" i="21" s="1"/>
  <c r="F29" i="21"/>
  <c r="E29" i="21"/>
  <c r="D29" i="21"/>
  <c r="D84" i="21" s="1"/>
  <c r="D83" i="21" s="1"/>
  <c r="C29" i="21"/>
  <c r="C84" i="21" s="1"/>
  <c r="C83" i="21" s="1"/>
  <c r="C78" i="21" s="1"/>
  <c r="G26" i="21"/>
  <c r="H26" i="21" s="1"/>
  <c r="F26" i="21"/>
  <c r="D26" i="21"/>
  <c r="C26" i="21"/>
  <c r="N25" i="21"/>
  <c r="M25" i="21"/>
  <c r="L25" i="21"/>
  <c r="K25" i="21"/>
  <c r="G25" i="21"/>
  <c r="H25" i="21" s="1"/>
  <c r="F25" i="21"/>
  <c r="E25" i="21"/>
  <c r="E24" i="21" s="1"/>
  <c r="D25" i="21"/>
  <c r="D24" i="21" s="1"/>
  <c r="C25" i="21"/>
  <c r="C24" i="21" s="1"/>
  <c r="G23" i="21"/>
  <c r="H23" i="21" s="1"/>
  <c r="F23" i="21"/>
  <c r="N22" i="21"/>
  <c r="M22" i="21"/>
  <c r="L22" i="21"/>
  <c r="K22" i="21"/>
  <c r="G22" i="21"/>
  <c r="H22" i="21" s="1"/>
  <c r="F22" i="21"/>
  <c r="E22" i="21"/>
  <c r="D22" i="21"/>
  <c r="N21" i="21"/>
  <c r="M21" i="21"/>
  <c r="L21" i="21"/>
  <c r="K21" i="21"/>
  <c r="G21" i="21"/>
  <c r="F21" i="21"/>
  <c r="E21" i="21"/>
  <c r="D21" i="21"/>
  <c r="C21" i="21"/>
  <c r="N20" i="21"/>
  <c r="M20" i="21"/>
  <c r="L20" i="21"/>
  <c r="K20" i="21"/>
  <c r="G20" i="21"/>
  <c r="F20" i="21"/>
  <c r="E20" i="21"/>
  <c r="D20" i="21"/>
  <c r="C20" i="21"/>
  <c r="M19" i="21"/>
  <c r="G19" i="21"/>
  <c r="H19" i="21" s="1"/>
  <c r="F19" i="21"/>
  <c r="E19" i="21"/>
  <c r="D19" i="21"/>
  <c r="C19" i="21"/>
  <c r="N18" i="21"/>
  <c r="M18" i="21"/>
  <c r="L18" i="21"/>
  <c r="K18" i="21"/>
  <c r="G18" i="21"/>
  <c r="H18" i="21" s="1"/>
  <c r="F18" i="21"/>
  <c r="E18" i="21"/>
  <c r="D18" i="21"/>
  <c r="C18" i="21"/>
  <c r="K17" i="21"/>
  <c r="G17" i="21"/>
  <c r="F17" i="21"/>
  <c r="E17" i="21"/>
  <c r="D17" i="21"/>
  <c r="C17" i="21"/>
  <c r="C112" i="21" s="1"/>
  <c r="F14" i="21"/>
  <c r="D14" i="21"/>
  <c r="G13" i="21"/>
  <c r="H13" i="21" s="1"/>
  <c r="F13" i="21"/>
  <c r="E13" i="21"/>
  <c r="D13" i="21"/>
  <c r="C13" i="21"/>
  <c r="G12" i="21"/>
  <c r="F12" i="21"/>
  <c r="N11" i="21"/>
  <c r="N10" i="21" s="1"/>
  <c r="M11" i="21"/>
  <c r="M10" i="21" s="1"/>
  <c r="L11" i="21"/>
  <c r="K11" i="21"/>
  <c r="G11" i="21"/>
  <c r="H11" i="21" s="1"/>
  <c r="H10" i="21" s="1"/>
  <c r="F11" i="21"/>
  <c r="F10" i="21" s="1"/>
  <c r="E11" i="21"/>
  <c r="C11" i="21"/>
  <c r="L10" i="21"/>
  <c r="E10" i="21"/>
  <c r="D10" i="21"/>
  <c r="C10" i="21"/>
  <c r="H9" i="21"/>
  <c r="G9" i="21"/>
  <c r="F9" i="21"/>
  <c r="E9" i="21"/>
  <c r="D9" i="21"/>
  <c r="G8" i="21"/>
  <c r="H8" i="21" s="1"/>
  <c r="F8" i="21"/>
  <c r="E8" i="21"/>
  <c r="E7" i="21" s="1"/>
  <c r="D8" i="21"/>
  <c r="C8" i="21"/>
  <c r="C7" i="21" s="1"/>
  <c r="J3" i="21"/>
  <c r="I3" i="21"/>
  <c r="H3" i="21"/>
  <c r="G3" i="21"/>
  <c r="F3" i="21"/>
  <c r="E3" i="21"/>
  <c r="K67" i="2"/>
  <c r="K61" i="2"/>
  <c r="K50" i="2"/>
  <c r="N71" i="2"/>
  <c r="M71" i="2"/>
  <c r="L71" i="2"/>
  <c r="K71" i="2"/>
  <c r="D28" i="21" l="1"/>
  <c r="F96" i="21"/>
  <c r="E88" i="21"/>
  <c r="E87" i="21" s="1"/>
  <c r="D96" i="21"/>
  <c r="D113" i="21"/>
  <c r="F113" i="21"/>
  <c r="C113" i="21"/>
  <c r="C111" i="21" s="1"/>
  <c r="H113" i="21"/>
  <c r="K19" i="21"/>
  <c r="K113" i="21" s="1"/>
  <c r="F116" i="21"/>
  <c r="L83" i="21"/>
  <c r="L78" i="21" s="1"/>
  <c r="N83" i="21"/>
  <c r="N78" i="21" s="1"/>
  <c r="L58" i="21"/>
  <c r="D55" i="21"/>
  <c r="D32" i="21" s="1"/>
  <c r="G71" i="21"/>
  <c r="F83" i="21"/>
  <c r="F78" i="21" s="1"/>
  <c r="G10" i="21"/>
  <c r="G7" i="21" s="1"/>
  <c r="G15" i="21" s="1"/>
  <c r="F112" i="21"/>
  <c r="K112" i="21"/>
  <c r="F114" i="21"/>
  <c r="K114" i="21"/>
  <c r="M114" i="21"/>
  <c r="E115" i="21"/>
  <c r="G115" i="21"/>
  <c r="E84" i="21"/>
  <c r="E83" i="21" s="1"/>
  <c r="E78" i="21" s="1"/>
  <c r="F28" i="21"/>
  <c r="F88" i="21"/>
  <c r="F87" i="21" s="1"/>
  <c r="H24" i="21"/>
  <c r="E15" i="21"/>
  <c r="C15" i="21"/>
  <c r="E112" i="21"/>
  <c r="G112" i="21"/>
  <c r="M113" i="21"/>
  <c r="C114" i="21"/>
  <c r="E114" i="21"/>
  <c r="G114" i="21"/>
  <c r="D115" i="21"/>
  <c r="F115" i="21"/>
  <c r="K115" i="21"/>
  <c r="M115" i="21"/>
  <c r="G24" i="21"/>
  <c r="G16" i="21" s="1"/>
  <c r="K55" i="21"/>
  <c r="D71" i="21"/>
  <c r="G83" i="21"/>
  <c r="G78" i="21" s="1"/>
  <c r="H83" i="21"/>
  <c r="H78" i="21" s="1"/>
  <c r="G89" i="21"/>
  <c r="G88" i="21" s="1"/>
  <c r="G87" i="21" s="1"/>
  <c r="G100" i="21"/>
  <c r="N69" i="21"/>
  <c r="M55" i="21"/>
  <c r="F7" i="21"/>
  <c r="F15" i="21" s="1"/>
  <c r="F24" i="21"/>
  <c r="F16" i="21" s="1"/>
  <c r="M83" i="21"/>
  <c r="M78" i="21" s="1"/>
  <c r="L47" i="21"/>
  <c r="F55" i="21"/>
  <c r="F32" i="21" s="1"/>
  <c r="L60" i="21"/>
  <c r="L19" i="21" s="1"/>
  <c r="L113" i="21" s="1"/>
  <c r="L64" i="21"/>
  <c r="H71" i="21"/>
  <c r="E96" i="21"/>
  <c r="H7" i="21"/>
  <c r="H15" i="21" s="1"/>
  <c r="H17" i="21"/>
  <c r="H112" i="21" s="1"/>
  <c r="H20" i="21"/>
  <c r="H114" i="21" s="1"/>
  <c r="H21" i="21"/>
  <c r="H115" i="21" s="1"/>
  <c r="C28" i="21"/>
  <c r="E28" i="21"/>
  <c r="H28" i="21"/>
  <c r="N47" i="21"/>
  <c r="N58" i="21"/>
  <c r="N60" i="21"/>
  <c r="N19" i="21" s="1"/>
  <c r="N113" i="21" s="1"/>
  <c r="N64" i="21"/>
  <c r="M30" i="21"/>
  <c r="M8" i="21" s="1"/>
  <c r="L8" i="21"/>
  <c r="L7" i="21" s="1"/>
  <c r="L13" i="21" s="1"/>
  <c r="L15" i="21" s="1"/>
  <c r="K8" i="21"/>
  <c r="N114" i="21"/>
  <c r="K28" i="21"/>
  <c r="C115" i="21"/>
  <c r="D100" i="21"/>
  <c r="D112" i="21"/>
  <c r="D114" i="21"/>
  <c r="D23" i="21"/>
  <c r="D116" i="21" s="1"/>
  <c r="D87" i="21"/>
  <c r="D7" i="21"/>
  <c r="D15" i="21" s="1"/>
  <c r="H116" i="21"/>
  <c r="C108" i="21"/>
  <c r="M17" i="21"/>
  <c r="K116" i="21"/>
  <c r="L42" i="21"/>
  <c r="L93" i="21"/>
  <c r="L97" i="21"/>
  <c r="H98" i="21"/>
  <c r="H96" i="21" s="1"/>
  <c r="G96" i="21"/>
  <c r="G116" i="21"/>
  <c r="L46" i="21"/>
  <c r="M46" i="21" s="1"/>
  <c r="N46" i="21" s="1"/>
  <c r="K10" i="21"/>
  <c r="E16" i="21"/>
  <c r="L17" i="21"/>
  <c r="N17" i="21"/>
  <c r="E113" i="21"/>
  <c r="G113" i="21"/>
  <c r="L114" i="21"/>
  <c r="L115" i="21"/>
  <c r="N115" i="21"/>
  <c r="C23" i="21"/>
  <c r="K24" i="21"/>
  <c r="G28" i="21"/>
  <c r="L28" i="21"/>
  <c r="K32" i="21"/>
  <c r="N51" i="21"/>
  <c r="L51" i="21"/>
  <c r="C55" i="21"/>
  <c r="C32" i="21" s="1"/>
  <c r="E55" i="21"/>
  <c r="E32" i="21" s="1"/>
  <c r="H58" i="21"/>
  <c r="H55" i="21" s="1"/>
  <c r="H32" i="21" s="1"/>
  <c r="G55" i="21"/>
  <c r="G32" i="21" s="1"/>
  <c r="F71" i="21"/>
  <c r="D78" i="21"/>
  <c r="K88" i="21"/>
  <c r="H92" i="21"/>
  <c r="H88" i="21" s="1"/>
  <c r="K96" i="21"/>
  <c r="L102" i="21"/>
  <c r="E116" i="21" l="1"/>
  <c r="G111" i="21"/>
  <c r="H111" i="21"/>
  <c r="F111" i="21"/>
  <c r="K111" i="21"/>
  <c r="L55" i="21"/>
  <c r="D108" i="21"/>
  <c r="D111" i="21"/>
  <c r="E108" i="21"/>
  <c r="F108" i="21"/>
  <c r="N30" i="21"/>
  <c r="N28" i="21" s="1"/>
  <c r="G117" i="21"/>
  <c r="G118" i="21" s="1"/>
  <c r="E111" i="21"/>
  <c r="M28" i="21"/>
  <c r="H16" i="21"/>
  <c r="H27" i="21" s="1"/>
  <c r="H86" i="21" s="1"/>
  <c r="N55" i="21"/>
  <c r="H117" i="21"/>
  <c r="L32" i="21"/>
  <c r="F117" i="21"/>
  <c r="F118" i="21" s="1"/>
  <c r="G108" i="21"/>
  <c r="D16" i="21"/>
  <c r="D27" i="21" s="1"/>
  <c r="D86" i="21" s="1"/>
  <c r="D103" i="21" s="1"/>
  <c r="D106" i="21" s="1"/>
  <c r="H87" i="21"/>
  <c r="H108" i="21" s="1"/>
  <c r="H124" i="21" s="1"/>
  <c r="H118" i="21"/>
  <c r="M102" i="21"/>
  <c r="L100" i="21"/>
  <c r="K87" i="21"/>
  <c r="D117" i="21"/>
  <c r="D118" i="21" s="1"/>
  <c r="L112" i="21"/>
  <c r="E109" i="21"/>
  <c r="E117" i="21"/>
  <c r="L96" i="21"/>
  <c r="M97" i="21"/>
  <c r="L88" i="21"/>
  <c r="L87" i="21" s="1"/>
  <c r="L108" i="21" s="1"/>
  <c r="M93" i="21"/>
  <c r="L26" i="21"/>
  <c r="L116" i="21"/>
  <c r="M42" i="21"/>
  <c r="M7" i="21"/>
  <c r="K117" i="21"/>
  <c r="K118" i="21" s="1"/>
  <c r="K16" i="21"/>
  <c r="K109" i="21" s="1"/>
  <c r="C116" i="21"/>
  <c r="C16" i="21"/>
  <c r="N112" i="21"/>
  <c r="N111" i="21" s="1"/>
  <c r="G109" i="21"/>
  <c r="K7" i="21"/>
  <c r="C117" i="21"/>
  <c r="M112" i="21"/>
  <c r="M111" i="21" s="1"/>
  <c r="G27" i="21"/>
  <c r="G86" i="21" s="1"/>
  <c r="G103" i="21" s="1"/>
  <c r="G106" i="21" s="1"/>
  <c r="F109" i="21"/>
  <c r="F27" i="21"/>
  <c r="F86" i="21" s="1"/>
  <c r="F103" i="21" s="1"/>
  <c r="F106" i="21" s="1"/>
  <c r="E27" i="21"/>
  <c r="E86" i="21" s="1"/>
  <c r="E103" i="21" s="1"/>
  <c r="E106" i="21" s="1"/>
  <c r="N8" i="21" l="1"/>
  <c r="N7" i="21" s="1"/>
  <c r="E118" i="21"/>
  <c r="H103" i="21"/>
  <c r="H104" i="21" s="1"/>
  <c r="H109" i="21" s="1"/>
  <c r="D109" i="21"/>
  <c r="C109" i="21"/>
  <c r="C27" i="21"/>
  <c r="C86" i="21" s="1"/>
  <c r="C103" i="21" s="1"/>
  <c r="C106" i="21" s="1"/>
  <c r="N93" i="21"/>
  <c r="M26" i="21"/>
  <c r="M24" i="21" s="1"/>
  <c r="M88" i="21"/>
  <c r="M87" i="21" s="1"/>
  <c r="N97" i="21"/>
  <c r="M96" i="21"/>
  <c r="L111" i="21"/>
  <c r="N102" i="21"/>
  <c r="M100" i="21"/>
  <c r="N13" i="21"/>
  <c r="N15" i="21" s="1"/>
  <c r="K13" i="21"/>
  <c r="K15" i="21" s="1"/>
  <c r="K27" i="21" s="1"/>
  <c r="K86" i="21" s="1"/>
  <c r="K103" i="21" s="1"/>
  <c r="K106" i="21" s="1"/>
  <c r="C118" i="21"/>
  <c r="M13" i="21"/>
  <c r="M15" i="21" s="1"/>
  <c r="M116" i="21"/>
  <c r="N42" i="21"/>
  <c r="M32" i="21"/>
  <c r="L24" i="21"/>
  <c r="M108" i="21" l="1"/>
  <c r="L117" i="21"/>
  <c r="L118" i="21" s="1"/>
  <c r="L16" i="21"/>
  <c r="L27" i="21" s="1"/>
  <c r="L86" i="21" s="1"/>
  <c r="L103" i="21" s="1"/>
  <c r="L106" i="21" s="1"/>
  <c r="N116" i="21"/>
  <c r="N32" i="21"/>
  <c r="N100" i="21"/>
  <c r="N88" i="21"/>
  <c r="N26" i="21"/>
  <c r="H106" i="21"/>
  <c r="K108" i="21"/>
  <c r="N96" i="21"/>
  <c r="M117" i="21"/>
  <c r="M118" i="21" s="1"/>
  <c r="M16" i="21"/>
  <c r="M109" i="21" s="1"/>
  <c r="H123" i="21"/>
  <c r="H122" i="21"/>
  <c r="M27" i="21" l="1"/>
  <c r="M86" i="21" s="1"/>
  <c r="M103" i="21" s="1"/>
  <c r="M106" i="21" s="1"/>
  <c r="N24" i="21"/>
  <c r="N87" i="21"/>
  <c r="N108" i="21" s="1"/>
  <c r="L109" i="21"/>
  <c r="N117" i="21" l="1"/>
  <c r="N16" i="21"/>
  <c r="N27" i="21" s="1"/>
  <c r="N86" i="21" s="1"/>
  <c r="N103" i="21" s="1"/>
  <c r="N106" i="21" s="1"/>
  <c r="N109" i="21" l="1"/>
  <c r="N118" i="21"/>
  <c r="K44" i="2" l="1"/>
  <c r="N24" i="2"/>
  <c r="M24" i="2"/>
  <c r="L24" i="2"/>
  <c r="K24" i="2"/>
  <c r="J94" i="2" l="1"/>
  <c r="J91" i="21" l="1"/>
  <c r="O91" i="21" s="1"/>
  <c r="G9" i="10"/>
  <c r="I6" i="2"/>
  <c r="I4" i="19" s="1"/>
  <c r="I6" i="3" s="1"/>
  <c r="K100" i="2" l="1"/>
  <c r="L88" i="2" l="1"/>
  <c r="M88" i="2" s="1"/>
  <c r="N88" i="2" s="1"/>
  <c r="M61" i="2" l="1"/>
  <c r="N61" i="2"/>
  <c r="L61" i="2"/>
  <c r="K63" i="2"/>
  <c r="N63" i="2" s="1"/>
  <c r="M65" i="2"/>
  <c r="N65" i="2"/>
  <c r="L65" i="2"/>
  <c r="M66" i="2"/>
  <c r="N66" i="2"/>
  <c r="L66" i="2"/>
  <c r="M67" i="2"/>
  <c r="N67" i="2"/>
  <c r="L67" i="2"/>
  <c r="M73" i="2"/>
  <c r="N73" i="2"/>
  <c r="L73" i="2"/>
  <c r="M63" i="2" l="1"/>
  <c r="L63" i="2"/>
  <c r="J101" i="2"/>
  <c r="J98" i="21" s="1"/>
  <c r="O98" i="21" s="1"/>
  <c r="K54" i="2" l="1"/>
  <c r="M54" i="2" s="1"/>
  <c r="M50" i="2"/>
  <c r="N50" i="2"/>
  <c r="L50" i="2"/>
  <c r="K49" i="2"/>
  <c r="N47" i="2"/>
  <c r="K45" i="2"/>
  <c r="N42" i="2"/>
  <c r="M42" i="2"/>
  <c r="L42" i="2"/>
  <c r="K20" i="2"/>
  <c r="N20" i="2" s="1"/>
  <c r="C92" i="2"/>
  <c r="D92" i="2"/>
  <c r="N54" i="2" l="1"/>
  <c r="L54" i="2"/>
  <c r="M20" i="2"/>
  <c r="L20" i="2"/>
  <c r="F18" i="10" l="1"/>
  <c r="F22" i="10"/>
  <c r="F26" i="10"/>
  <c r="F30" i="10"/>
  <c r="F11" i="10"/>
  <c r="G11" i="3"/>
  <c r="G12" i="3"/>
  <c r="G13" i="3"/>
  <c r="G14" i="3"/>
  <c r="G10" i="3"/>
  <c r="G108" i="2"/>
  <c r="H108" i="2" s="1"/>
  <c r="G107" i="2"/>
  <c r="G105" i="2"/>
  <c r="G104" i="2"/>
  <c r="G101" i="2"/>
  <c r="H101" i="2" s="1"/>
  <c r="G100" i="2"/>
  <c r="G96" i="2"/>
  <c r="G95" i="2"/>
  <c r="H95" i="2" s="1"/>
  <c r="G94" i="2"/>
  <c r="G93" i="2"/>
  <c r="G88" i="2"/>
  <c r="G87" i="2"/>
  <c r="G85" i="2"/>
  <c r="H85" i="2" s="1"/>
  <c r="G84" i="2"/>
  <c r="H84" i="2" s="1"/>
  <c r="G83" i="2"/>
  <c r="H83" i="2" s="1"/>
  <c r="G82" i="2"/>
  <c r="H82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7" i="2"/>
  <c r="G56" i="2"/>
  <c r="G55" i="2"/>
  <c r="G54" i="2"/>
  <c r="G53" i="2"/>
  <c r="G52" i="2"/>
  <c r="G50" i="2"/>
  <c r="G49" i="2"/>
  <c r="G48" i="2"/>
  <c r="G47" i="2"/>
  <c r="G46" i="2"/>
  <c r="G45" i="2"/>
  <c r="G44" i="2"/>
  <c r="G43" i="2"/>
  <c r="G42" i="2"/>
  <c r="G41" i="2"/>
  <c r="G40" i="2"/>
  <c r="G34" i="2"/>
  <c r="G33" i="2"/>
  <c r="G32" i="2"/>
  <c r="G29" i="2"/>
  <c r="G28" i="2"/>
  <c r="G26" i="2"/>
  <c r="G25" i="2"/>
  <c r="G24" i="2"/>
  <c r="G23" i="2"/>
  <c r="G22" i="2"/>
  <c r="G21" i="2"/>
  <c r="G20" i="2"/>
  <c r="G12" i="2"/>
  <c r="G14" i="2"/>
  <c r="G15" i="2"/>
  <c r="G16" i="2"/>
  <c r="G11" i="2"/>
  <c r="G13" i="2" l="1"/>
  <c r="G92" i="2"/>
  <c r="L21" i="19"/>
  <c r="L42" i="10"/>
  <c r="L43" i="10"/>
  <c r="K42" i="10"/>
  <c r="K43" i="10"/>
  <c r="K41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12" i="10"/>
  <c r="E13" i="10"/>
  <c r="E14" i="10"/>
  <c r="E15" i="10"/>
  <c r="E16" i="10"/>
  <c r="E17" i="10"/>
  <c r="E11" i="10"/>
  <c r="F11" i="3"/>
  <c r="F12" i="3"/>
  <c r="F13" i="3"/>
  <c r="F14" i="3"/>
  <c r="F10" i="3"/>
  <c r="F34" i="19"/>
  <c r="F33" i="19"/>
  <c r="F32" i="19"/>
  <c r="F30" i="19"/>
  <c r="F29" i="19"/>
  <c r="F28" i="19"/>
  <c r="F27" i="19"/>
  <c r="F26" i="19"/>
  <c r="F25" i="19"/>
  <c r="F24" i="19"/>
  <c r="F23" i="19"/>
  <c r="F19" i="19"/>
  <c r="F36" i="14" s="1"/>
  <c r="F20" i="19"/>
  <c r="F21" i="19"/>
  <c r="F38" i="14" s="1"/>
  <c r="F18" i="19"/>
  <c r="F35" i="14" s="1"/>
  <c r="F108" i="2"/>
  <c r="F107" i="2"/>
  <c r="F105" i="2"/>
  <c r="F104" i="2"/>
  <c r="F101" i="2"/>
  <c r="F100" i="2"/>
  <c r="F98" i="2"/>
  <c r="F28" i="14" s="1"/>
  <c r="F93" i="2"/>
  <c r="F92" i="2" s="1"/>
  <c r="F96" i="2"/>
  <c r="F94" i="2"/>
  <c r="F88" i="2"/>
  <c r="F87" i="2"/>
  <c r="F85" i="2"/>
  <c r="F84" i="2"/>
  <c r="F83" i="2"/>
  <c r="F82" i="2"/>
  <c r="F80" i="2"/>
  <c r="F79" i="2"/>
  <c r="F78" i="2"/>
  <c r="F77" i="2"/>
  <c r="F76" i="2"/>
  <c r="F75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7" i="2"/>
  <c r="F56" i="2"/>
  <c r="F55" i="2"/>
  <c r="F54" i="2"/>
  <c r="F53" i="2"/>
  <c r="F52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4" i="2"/>
  <c r="F33" i="2"/>
  <c r="F32" i="2"/>
  <c r="F29" i="2"/>
  <c r="F28" i="2"/>
  <c r="F26" i="2"/>
  <c r="F25" i="2"/>
  <c r="F24" i="2"/>
  <c r="F23" i="2"/>
  <c r="F117" i="2" s="1"/>
  <c r="F22" i="2"/>
  <c r="F21" i="2"/>
  <c r="F20" i="2"/>
  <c r="F17" i="2"/>
  <c r="F14" i="2"/>
  <c r="F15" i="2"/>
  <c r="F16" i="2"/>
  <c r="F12" i="2"/>
  <c r="F11" i="2"/>
  <c r="F37" i="14"/>
  <c r="F40" i="14"/>
  <c r="F32" i="14"/>
  <c r="K69" i="10"/>
  <c r="K68" i="10"/>
  <c r="L78" i="10"/>
  <c r="L79" i="10" s="1"/>
  <c r="L89" i="10"/>
  <c r="K89" i="10"/>
  <c r="L98" i="10"/>
  <c r="K98" i="10"/>
  <c r="K12" i="10"/>
  <c r="K13" i="10"/>
  <c r="K14" i="10"/>
  <c r="K16" i="10"/>
  <c r="K17" i="10"/>
  <c r="E9" i="10"/>
  <c r="E38" i="10" s="1"/>
  <c r="F6" i="2"/>
  <c r="F4" i="19" s="1"/>
  <c r="F6" i="3" s="1"/>
  <c r="F119" i="2" l="1"/>
  <c r="F74" i="2"/>
  <c r="F24" i="14" s="1"/>
  <c r="F86" i="2"/>
  <c r="F81" i="2" s="1"/>
  <c r="F99" i="2"/>
  <c r="F29" i="14" s="1"/>
  <c r="F103" i="2"/>
  <c r="F30" i="14" s="1"/>
  <c r="F31" i="19"/>
  <c r="E41" i="10"/>
  <c r="E42" i="10"/>
  <c r="F116" i="2"/>
  <c r="F27" i="2"/>
  <c r="K70" i="10"/>
  <c r="F22" i="19"/>
  <c r="F39" i="14" s="1"/>
  <c r="K37" i="10"/>
  <c r="F31" i="2"/>
  <c r="F22" i="14" s="1"/>
  <c r="F58" i="2"/>
  <c r="F35" i="2" s="1"/>
  <c r="F23" i="14" s="1"/>
  <c r="H92" i="2"/>
  <c r="H91" i="2" s="1"/>
  <c r="H90" i="2" s="1"/>
  <c r="H27" i="14" s="1"/>
  <c r="M21" i="19"/>
  <c r="M38" i="14" s="1"/>
  <c r="F91" i="2"/>
  <c r="F90" i="2" s="1"/>
  <c r="F27" i="14" s="1"/>
  <c r="F13" i="2"/>
  <c r="F10" i="2" s="1"/>
  <c r="F18" i="2" s="1"/>
  <c r="F115" i="2"/>
  <c r="F114" i="2" s="1"/>
  <c r="F118" i="2"/>
  <c r="F9" i="3"/>
  <c r="F50" i="14" s="1"/>
  <c r="F19" i="2"/>
  <c r="H9" i="3"/>
  <c r="H50" i="14" s="1"/>
  <c r="H31" i="2"/>
  <c r="H22" i="14" s="1"/>
  <c r="H12" i="2"/>
  <c r="O37" i="10"/>
  <c r="H119" i="2"/>
  <c r="E74" i="2"/>
  <c r="E24" i="14" s="1"/>
  <c r="H74" i="2"/>
  <c r="J74" i="2"/>
  <c r="J71" i="21" s="1"/>
  <c r="O71" i="21" s="1"/>
  <c r="H13" i="2"/>
  <c r="H6" i="2"/>
  <c r="H4" i="19" s="1"/>
  <c r="H6" i="3" s="1"/>
  <c r="H28" i="14"/>
  <c r="L49" i="2"/>
  <c r="M49" i="2" s="1"/>
  <c r="N49" i="2" s="1"/>
  <c r="L72" i="2"/>
  <c r="M72" i="2" s="1"/>
  <c r="N60" i="2"/>
  <c r="N33" i="19" s="1"/>
  <c r="M60" i="2"/>
  <c r="M33" i="19" s="1"/>
  <c r="L60" i="2"/>
  <c r="N40" i="2"/>
  <c r="N28" i="2"/>
  <c r="M28" i="2"/>
  <c r="L28" i="2"/>
  <c r="K28" i="2"/>
  <c r="G9" i="3"/>
  <c r="G50" i="14" s="1"/>
  <c r="G35" i="19"/>
  <c r="G34" i="19"/>
  <c r="G33" i="19"/>
  <c r="G32" i="19"/>
  <c r="G30" i="19"/>
  <c r="G29" i="19"/>
  <c r="G28" i="19"/>
  <c r="G27" i="19"/>
  <c r="G26" i="19"/>
  <c r="G25" i="19"/>
  <c r="H25" i="19" s="1"/>
  <c r="G24" i="19"/>
  <c r="H24" i="19" s="1"/>
  <c r="G23" i="19"/>
  <c r="H23" i="19" s="1"/>
  <c r="G21" i="19"/>
  <c r="H38" i="14" s="1"/>
  <c r="G20" i="19"/>
  <c r="G91" i="2"/>
  <c r="G90" i="2" s="1"/>
  <c r="G27" i="14" s="1"/>
  <c r="G58" i="2"/>
  <c r="G115" i="2"/>
  <c r="D23" i="10"/>
  <c r="D31" i="10" s="1"/>
  <c r="D19" i="10"/>
  <c r="D27" i="10" s="1"/>
  <c r="E35" i="19"/>
  <c r="E40" i="14" s="1"/>
  <c r="E34" i="19"/>
  <c r="E33" i="19"/>
  <c r="E32" i="19"/>
  <c r="E29" i="19"/>
  <c r="E26" i="19"/>
  <c r="E21" i="19"/>
  <c r="E38" i="14" s="1"/>
  <c r="E20" i="19"/>
  <c r="E37" i="14" s="1"/>
  <c r="E105" i="2"/>
  <c r="E104" i="2"/>
  <c r="E101" i="2"/>
  <c r="E100" i="2"/>
  <c r="E88" i="2"/>
  <c r="E83" i="2"/>
  <c r="E66" i="2"/>
  <c r="E73" i="2"/>
  <c r="E72" i="2"/>
  <c r="E71" i="2"/>
  <c r="E70" i="2"/>
  <c r="E69" i="2"/>
  <c r="E68" i="2"/>
  <c r="E67" i="2"/>
  <c r="E61" i="2"/>
  <c r="E62" i="2"/>
  <c r="E63" i="2"/>
  <c r="E64" i="2"/>
  <c r="E65" i="2"/>
  <c r="E60" i="2"/>
  <c r="E57" i="2"/>
  <c r="E55" i="2"/>
  <c r="E56" i="2"/>
  <c r="E46" i="2"/>
  <c r="E47" i="2"/>
  <c r="E48" i="2"/>
  <c r="E49" i="2"/>
  <c r="E50" i="2"/>
  <c r="E52" i="2"/>
  <c r="E53" i="2"/>
  <c r="E54" i="2"/>
  <c r="E45" i="2"/>
  <c r="E44" i="2"/>
  <c r="E43" i="2"/>
  <c r="E42" i="2"/>
  <c r="E33" i="2"/>
  <c r="E34" i="2"/>
  <c r="E32" i="2"/>
  <c r="E28" i="2"/>
  <c r="E27" i="2" s="1"/>
  <c r="E25" i="2"/>
  <c r="E24" i="2"/>
  <c r="E118" i="2" s="1"/>
  <c r="E23" i="2"/>
  <c r="E22" i="2"/>
  <c r="E21" i="2"/>
  <c r="E20" i="2"/>
  <c r="E16" i="2"/>
  <c r="E12" i="2"/>
  <c r="E13" i="2"/>
  <c r="E11" i="2"/>
  <c r="C29" i="2"/>
  <c r="D29" i="2"/>
  <c r="D44" i="2"/>
  <c r="D43" i="2"/>
  <c r="D24" i="2"/>
  <c r="D118" i="2" s="1"/>
  <c r="D23" i="2"/>
  <c r="D117" i="2" s="1"/>
  <c r="S99" i="10"/>
  <c r="A40" i="10"/>
  <c r="D11" i="10"/>
  <c r="J6" i="2"/>
  <c r="J4" i="19" s="1"/>
  <c r="J6" i="3" s="1"/>
  <c r="E14" i="2"/>
  <c r="I41" i="10" s="1"/>
  <c r="E59" i="2"/>
  <c r="E94" i="2"/>
  <c r="E95" i="2"/>
  <c r="E93" i="2"/>
  <c r="E92" i="2" s="1"/>
  <c r="E14" i="3"/>
  <c r="E13" i="3"/>
  <c r="E12" i="3"/>
  <c r="E11" i="3"/>
  <c r="E10" i="3"/>
  <c r="D36" i="19"/>
  <c r="D41" i="14" s="1"/>
  <c r="E30" i="19"/>
  <c r="E28" i="19"/>
  <c r="E27" i="19"/>
  <c r="E25" i="19"/>
  <c r="E24" i="19"/>
  <c r="E23" i="19"/>
  <c r="E19" i="19"/>
  <c r="E36" i="14" s="1"/>
  <c r="E18" i="19"/>
  <c r="E35" i="14" s="1"/>
  <c r="E41" i="2"/>
  <c r="E37" i="2"/>
  <c r="E38" i="2"/>
  <c r="E39" i="2"/>
  <c r="E36" i="2"/>
  <c r="E40" i="2"/>
  <c r="H9" i="10"/>
  <c r="H38" i="10" s="1"/>
  <c r="Q37" i="10" s="1"/>
  <c r="D9" i="10"/>
  <c r="D38" i="10" s="1"/>
  <c r="I37" i="10" s="1"/>
  <c r="G40" i="14"/>
  <c r="G38" i="14"/>
  <c r="G19" i="19"/>
  <c r="H19" i="19" s="1"/>
  <c r="H36" i="14" s="1"/>
  <c r="G18" i="19"/>
  <c r="H18" i="19" s="1"/>
  <c r="H35" i="14" s="1"/>
  <c r="G74" i="2"/>
  <c r="G24" i="14" s="1"/>
  <c r="G39" i="2"/>
  <c r="G38" i="2"/>
  <c r="G37" i="2"/>
  <c r="G36" i="2"/>
  <c r="E28" i="14"/>
  <c r="G28" i="14"/>
  <c r="E32" i="14"/>
  <c r="G32" i="14"/>
  <c r="E6" i="2"/>
  <c r="E4" i="19" s="1"/>
  <c r="E6" i="3" s="1"/>
  <c r="G6" i="2"/>
  <c r="G4" i="19" s="1"/>
  <c r="G6" i="3" s="1"/>
  <c r="C14" i="2"/>
  <c r="C17" i="10"/>
  <c r="J88" i="2"/>
  <c r="J85" i="21" s="1"/>
  <c r="O85" i="21" s="1"/>
  <c r="C66" i="2"/>
  <c r="D66" i="2"/>
  <c r="J66" i="2"/>
  <c r="J63" i="21" s="1"/>
  <c r="O63" i="21" s="1"/>
  <c r="J70" i="2"/>
  <c r="J67" i="21" s="1"/>
  <c r="O67" i="21" s="1"/>
  <c r="J73" i="2"/>
  <c r="J70" i="21" s="1"/>
  <c r="O70" i="21" s="1"/>
  <c r="N69" i="2"/>
  <c r="M69" i="2"/>
  <c r="L69" i="2"/>
  <c r="N68" i="2"/>
  <c r="M68" i="2"/>
  <c r="L68" i="2"/>
  <c r="L100" i="2"/>
  <c r="M100" i="2" s="1"/>
  <c r="J95" i="2"/>
  <c r="B11" i="10"/>
  <c r="C11" i="10"/>
  <c r="J10" i="3"/>
  <c r="J11" i="3"/>
  <c r="J12" i="3"/>
  <c r="J13" i="3"/>
  <c r="M9" i="3"/>
  <c r="Q88" i="10" s="1"/>
  <c r="Q89" i="10" s="1"/>
  <c r="L9" i="3"/>
  <c r="L50" i="14" s="1"/>
  <c r="C12" i="10"/>
  <c r="C13" i="10"/>
  <c r="C14" i="10"/>
  <c r="C15" i="10"/>
  <c r="C16" i="10"/>
  <c r="C19" i="10"/>
  <c r="C23" i="10"/>
  <c r="C27" i="10"/>
  <c r="C31" i="10"/>
  <c r="D10" i="3"/>
  <c r="D11" i="3"/>
  <c r="D12" i="3"/>
  <c r="D13" i="3"/>
  <c r="D14" i="3"/>
  <c r="D9" i="3"/>
  <c r="D50" i="14" s="1"/>
  <c r="D19" i="19"/>
  <c r="D36" i="14" s="1"/>
  <c r="D21" i="19"/>
  <c r="D38" i="14" s="1"/>
  <c r="D23" i="19"/>
  <c r="D24" i="19"/>
  <c r="D25" i="19"/>
  <c r="D26" i="19"/>
  <c r="D27" i="19"/>
  <c r="D28" i="19"/>
  <c r="D30" i="19"/>
  <c r="D32" i="19"/>
  <c r="D18" i="19"/>
  <c r="D35" i="14" s="1"/>
  <c r="D8" i="19"/>
  <c r="B19" i="10"/>
  <c r="B27" i="10" s="1"/>
  <c r="L45" i="2"/>
  <c r="N34" i="19"/>
  <c r="M34" i="19"/>
  <c r="L34" i="19"/>
  <c r="J57" i="2"/>
  <c r="J54" i="21" s="1"/>
  <c r="O54" i="21" s="1"/>
  <c r="J56" i="2"/>
  <c r="J53" i="21" s="1"/>
  <c r="O53" i="21" s="1"/>
  <c r="J55" i="2"/>
  <c r="J52" i="21" s="1"/>
  <c r="O52" i="21" s="1"/>
  <c r="N53" i="2"/>
  <c r="K53" i="2"/>
  <c r="M47" i="2"/>
  <c r="L47" i="2"/>
  <c r="K47" i="2"/>
  <c r="C52" i="2"/>
  <c r="C40" i="2"/>
  <c r="C42" i="2"/>
  <c r="C104" i="2"/>
  <c r="C103" i="2" s="1"/>
  <c r="C30" i="14" s="1"/>
  <c r="C67" i="2"/>
  <c r="C65" i="2"/>
  <c r="C64" i="2"/>
  <c r="C22" i="2"/>
  <c r="C61" i="2"/>
  <c r="C60" i="2"/>
  <c r="C59" i="2"/>
  <c r="C57" i="2"/>
  <c r="C56" i="2"/>
  <c r="C55" i="2"/>
  <c r="C54" i="2"/>
  <c r="C53" i="2"/>
  <c r="C49" i="2"/>
  <c r="C48" i="2"/>
  <c r="C47" i="2"/>
  <c r="C46" i="2"/>
  <c r="C45" i="2"/>
  <c r="C44" i="2"/>
  <c r="C43" i="2"/>
  <c r="C100" i="2"/>
  <c r="C99" i="2" s="1"/>
  <c r="C29" i="14" s="1"/>
  <c r="C91" i="2"/>
  <c r="C90" i="2" s="1"/>
  <c r="C27" i="14" s="1"/>
  <c r="C32" i="2"/>
  <c r="C31" i="2" s="1"/>
  <c r="C22" i="14" s="1"/>
  <c r="C28" i="2"/>
  <c r="C27" i="2" s="1"/>
  <c r="C24" i="2"/>
  <c r="C118" i="2" s="1"/>
  <c r="C23" i="2"/>
  <c r="B21" i="10" s="1"/>
  <c r="C21" i="2"/>
  <c r="C116" i="2" s="1"/>
  <c r="C20" i="2"/>
  <c r="C115" i="2" s="1"/>
  <c r="C16" i="2"/>
  <c r="C20" i="19" s="1"/>
  <c r="C37" i="14" s="1"/>
  <c r="C13" i="2"/>
  <c r="C11" i="2"/>
  <c r="K99" i="2"/>
  <c r="K29" i="14" s="1"/>
  <c r="J64" i="2"/>
  <c r="J61" i="21" s="1"/>
  <c r="O61" i="21" s="1"/>
  <c r="J62" i="2"/>
  <c r="J59" i="21" s="1"/>
  <c r="O59" i="21" s="1"/>
  <c r="J34" i="2"/>
  <c r="J31" i="21" s="1"/>
  <c r="O31" i="21" s="1"/>
  <c r="J19" i="19"/>
  <c r="J36" i="14" s="1"/>
  <c r="J18" i="19"/>
  <c r="J35" i="14" s="1"/>
  <c r="J24" i="19"/>
  <c r="J25" i="19"/>
  <c r="J27" i="19"/>
  <c r="J28" i="19"/>
  <c r="J29" i="19"/>
  <c r="J30" i="19"/>
  <c r="J23" i="19"/>
  <c r="R98" i="10"/>
  <c r="Q98" i="10"/>
  <c r="P98" i="10"/>
  <c r="O98" i="10"/>
  <c r="N97" i="10"/>
  <c r="N98" i="10" s="1"/>
  <c r="H98" i="10"/>
  <c r="M98" i="10"/>
  <c r="M89" i="10"/>
  <c r="J46" i="2"/>
  <c r="J43" i="21" s="1"/>
  <c r="O43" i="21" s="1"/>
  <c r="J48" i="2"/>
  <c r="J45" i="21" s="1"/>
  <c r="O45" i="21" s="1"/>
  <c r="J108" i="2"/>
  <c r="J105" i="21" s="1"/>
  <c r="O105" i="21" s="1"/>
  <c r="J104" i="2"/>
  <c r="J101" i="21" s="1"/>
  <c r="O101" i="21" s="1"/>
  <c r="J98" i="2"/>
  <c r="J95" i="21" s="1"/>
  <c r="O95" i="21" s="1"/>
  <c r="J41" i="2"/>
  <c r="J38" i="21" s="1"/>
  <c r="O38" i="21" s="1"/>
  <c r="J39" i="2"/>
  <c r="J36" i="21" s="1"/>
  <c r="O36" i="21" s="1"/>
  <c r="J38" i="2"/>
  <c r="J35" i="21" s="1"/>
  <c r="O35" i="21" s="1"/>
  <c r="J37" i="2"/>
  <c r="J34" i="21" s="1"/>
  <c r="O34" i="21" s="1"/>
  <c r="J36" i="2"/>
  <c r="J33" i="21" s="1"/>
  <c r="O33" i="21" s="1"/>
  <c r="C9" i="3"/>
  <c r="C50" i="14" s="1"/>
  <c r="C31" i="19"/>
  <c r="B31" i="10"/>
  <c r="D69" i="18"/>
  <c r="D68" i="18" s="1"/>
  <c r="G97" i="10"/>
  <c r="G98" i="10" s="1"/>
  <c r="C69" i="18"/>
  <c r="C68" i="18"/>
  <c r="C48" i="14" s="1"/>
  <c r="E69" i="18"/>
  <c r="E68" i="18" s="1"/>
  <c r="F69" i="18"/>
  <c r="F68" i="18" s="1"/>
  <c r="J48" i="14" s="1"/>
  <c r="G69" i="18"/>
  <c r="G68" i="18"/>
  <c r="K48" i="14" s="1"/>
  <c r="H69" i="18"/>
  <c r="H68" i="18" s="1"/>
  <c r="L48" i="14" s="1"/>
  <c r="I69" i="18"/>
  <c r="I68" i="18"/>
  <c r="M48" i="14" s="1"/>
  <c r="J69" i="18"/>
  <c r="J68" i="18" s="1"/>
  <c r="N48" i="14" s="1"/>
  <c r="C74" i="2"/>
  <c r="C24" i="14" s="1"/>
  <c r="K74" i="2"/>
  <c r="L74" i="2"/>
  <c r="L24" i="14" s="1"/>
  <c r="M74" i="2"/>
  <c r="M24" i="14" s="1"/>
  <c r="N74" i="2"/>
  <c r="N24" i="14" s="1"/>
  <c r="B19" i="14"/>
  <c r="B20" i="14"/>
  <c r="B21" i="14"/>
  <c r="B22" i="14"/>
  <c r="B23" i="14"/>
  <c r="B24" i="14"/>
  <c r="B25" i="14"/>
  <c r="B26" i="14"/>
  <c r="B27" i="14"/>
  <c r="B28" i="14"/>
  <c r="C28" i="14"/>
  <c r="K28" i="14"/>
  <c r="L28" i="14"/>
  <c r="M28" i="14"/>
  <c r="N28" i="14"/>
  <c r="B29" i="14"/>
  <c r="B30" i="14"/>
  <c r="B31" i="14"/>
  <c r="B32" i="14"/>
  <c r="B33" i="14"/>
  <c r="B35" i="14"/>
  <c r="C35" i="14"/>
  <c r="K35" i="14"/>
  <c r="L35" i="14"/>
  <c r="M35" i="14"/>
  <c r="N35" i="14"/>
  <c r="B36" i="14"/>
  <c r="K36" i="14"/>
  <c r="L36" i="14"/>
  <c r="M36" i="14"/>
  <c r="N36" i="14"/>
  <c r="B37" i="14"/>
  <c r="B38" i="14"/>
  <c r="C38" i="14"/>
  <c r="B39" i="14"/>
  <c r="B40" i="14"/>
  <c r="B41" i="14"/>
  <c r="B43" i="14"/>
  <c r="C43" i="14"/>
  <c r="J43" i="14"/>
  <c r="K43" i="14"/>
  <c r="L43" i="14"/>
  <c r="M43" i="14"/>
  <c r="N43" i="14"/>
  <c r="B44" i="14"/>
  <c r="C44" i="14"/>
  <c r="J44" i="14"/>
  <c r="K44" i="14"/>
  <c r="L44" i="14"/>
  <c r="M44" i="14"/>
  <c r="N44" i="14"/>
  <c r="B45" i="14"/>
  <c r="C45" i="14"/>
  <c r="J45" i="14"/>
  <c r="K45" i="14"/>
  <c r="L45" i="14"/>
  <c r="M45" i="14"/>
  <c r="N45" i="14"/>
  <c r="B46" i="14"/>
  <c r="C46" i="14"/>
  <c r="J46" i="14"/>
  <c r="K46" i="14"/>
  <c r="L46" i="14"/>
  <c r="M46" i="14"/>
  <c r="N46" i="14"/>
  <c r="B47" i="14"/>
  <c r="C47" i="14"/>
  <c r="J47" i="14"/>
  <c r="K47" i="14"/>
  <c r="L47" i="14"/>
  <c r="M47" i="14"/>
  <c r="N47" i="14"/>
  <c r="B48" i="14"/>
  <c r="B50" i="14"/>
  <c r="C40" i="14"/>
  <c r="C32" i="14"/>
  <c r="C19" i="19"/>
  <c r="C36" i="14" s="1"/>
  <c r="J83" i="2"/>
  <c r="J80" i="21" s="1"/>
  <c r="O80" i="21" s="1"/>
  <c r="K9" i="3"/>
  <c r="K50" i="14" s="1"/>
  <c r="N9" i="3"/>
  <c r="R88" i="10" s="1"/>
  <c r="K34" i="19"/>
  <c r="J52" i="2"/>
  <c r="J49" i="21" s="1"/>
  <c r="O49" i="21" s="1"/>
  <c r="J61" i="2"/>
  <c r="J58" i="21" s="1"/>
  <c r="O58" i="21" s="1"/>
  <c r="J14" i="3"/>
  <c r="D108" i="2"/>
  <c r="D107" i="2"/>
  <c r="D32" i="14" s="1"/>
  <c r="D85" i="2"/>
  <c r="D84" i="2"/>
  <c r="D83" i="2"/>
  <c r="D82" i="2"/>
  <c r="D80" i="2"/>
  <c r="D79" i="2"/>
  <c r="D78" i="2"/>
  <c r="D77" i="2"/>
  <c r="D76" i="2"/>
  <c r="D75" i="2"/>
  <c r="D67" i="2"/>
  <c r="D64" i="2"/>
  <c r="D62" i="2"/>
  <c r="D59" i="2"/>
  <c r="D57" i="2"/>
  <c r="D56" i="2"/>
  <c r="D55" i="2"/>
  <c r="D54" i="2"/>
  <c r="D53" i="2"/>
  <c r="D52" i="2"/>
  <c r="D50" i="2"/>
  <c r="D49" i="2"/>
  <c r="D48" i="2"/>
  <c r="D46" i="2"/>
  <c r="D41" i="2"/>
  <c r="D40" i="2"/>
  <c r="D39" i="2"/>
  <c r="D38" i="2"/>
  <c r="D37" i="2"/>
  <c r="D36" i="2"/>
  <c r="D34" i="2"/>
  <c r="D25" i="2"/>
  <c r="D17" i="2"/>
  <c r="D12" i="2"/>
  <c r="D91" i="2"/>
  <c r="D105" i="2"/>
  <c r="D101" i="2"/>
  <c r="D100" i="2"/>
  <c r="D47" i="2"/>
  <c r="D42" i="2"/>
  <c r="D65" i="2"/>
  <c r="D61" i="2"/>
  <c r="D60" i="2"/>
  <c r="D22" i="2"/>
  <c r="D63" i="2"/>
  <c r="D45" i="2"/>
  <c r="D21" i="2"/>
  <c r="D11" i="2"/>
  <c r="D13" i="2"/>
  <c r="D16" i="2"/>
  <c r="D32" i="2"/>
  <c r="D87" i="2" s="1"/>
  <c r="D86" i="2" s="1"/>
  <c r="D33" i="2"/>
  <c r="D28" i="2"/>
  <c r="D27" i="2" s="1"/>
  <c r="D20" i="2"/>
  <c r="D115" i="2" s="1"/>
  <c r="D34" i="19"/>
  <c r="D33" i="19"/>
  <c r="C20" i="10"/>
  <c r="D104" i="2"/>
  <c r="C21" i="10"/>
  <c r="C18" i="10"/>
  <c r="D20" i="19"/>
  <c r="D37" i="14" s="1"/>
  <c r="C28" i="10"/>
  <c r="C24" i="10"/>
  <c r="D29" i="19"/>
  <c r="C29" i="10"/>
  <c r="C25" i="10"/>
  <c r="C26" i="10"/>
  <c r="C32" i="10"/>
  <c r="D22" i="19"/>
  <c r="D39" i="14" s="1"/>
  <c r="D35" i="19"/>
  <c r="D40" i="14" s="1"/>
  <c r="C22" i="10"/>
  <c r="C33" i="10"/>
  <c r="C30" i="10"/>
  <c r="D98" i="2"/>
  <c r="D28" i="14" s="1"/>
  <c r="D16" i="19"/>
  <c r="E8" i="19" s="1"/>
  <c r="P88" i="10"/>
  <c r="U97" i="10" s="1"/>
  <c r="U98" i="10" s="1"/>
  <c r="N50" i="14"/>
  <c r="M50" i="14"/>
  <c r="J59" i="2"/>
  <c r="J56" i="21" s="1"/>
  <c r="O56" i="21" s="1"/>
  <c r="J42" i="2"/>
  <c r="J39" i="21" s="1"/>
  <c r="O39" i="21" s="1"/>
  <c r="K33" i="19"/>
  <c r="H11" i="10"/>
  <c r="Q40" i="10"/>
  <c r="J63" i="2"/>
  <c r="J60" i="21" s="1"/>
  <c r="O60" i="21" s="1"/>
  <c r="D10" i="18"/>
  <c r="E10" i="18"/>
  <c r="L38" i="14"/>
  <c r="D103" i="2"/>
  <c r="D30" i="14" s="1"/>
  <c r="J9" i="3"/>
  <c r="J50" i="14" s="1"/>
  <c r="O88" i="10"/>
  <c r="O89" i="10" s="1"/>
  <c r="M45" i="2"/>
  <c r="N45" i="2" s="1"/>
  <c r="J26" i="2"/>
  <c r="J23" i="21" s="1"/>
  <c r="O23" i="21" s="1"/>
  <c r="K32" i="2"/>
  <c r="K87" i="2" s="1"/>
  <c r="K119" i="2" s="1"/>
  <c r="K24" i="14"/>
  <c r="K58" i="2"/>
  <c r="J60" i="2"/>
  <c r="J57" i="21" s="1"/>
  <c r="O57" i="21" s="1"/>
  <c r="B40" i="10"/>
  <c r="C40" i="10"/>
  <c r="E9" i="3"/>
  <c r="E50" i="14" s="1"/>
  <c r="H86" i="2"/>
  <c r="H40" i="14"/>
  <c r="H116" i="2"/>
  <c r="H118" i="2"/>
  <c r="G31" i="2"/>
  <c r="G22" i="14" s="1"/>
  <c r="G119" i="2"/>
  <c r="G10" i="2"/>
  <c r="H99" i="2"/>
  <c r="H29" i="14" s="1"/>
  <c r="J50" i="2"/>
  <c r="J47" i="21" s="1"/>
  <c r="O47" i="21" s="1"/>
  <c r="G117" i="2"/>
  <c r="G27" i="2"/>
  <c r="G19" i="2" s="1"/>
  <c r="G20" i="14" s="1"/>
  <c r="G86" i="2"/>
  <c r="G99" i="2"/>
  <c r="G29" i="14" s="1"/>
  <c r="G103" i="2"/>
  <c r="G30" i="14" s="1"/>
  <c r="H27" i="2"/>
  <c r="H103" i="2"/>
  <c r="H30" i="14" s="1"/>
  <c r="J65" i="2"/>
  <c r="J62" i="21" s="1"/>
  <c r="O62" i="21" s="1"/>
  <c r="G118" i="2"/>
  <c r="J54" i="2"/>
  <c r="J51" i="21" s="1"/>
  <c r="O51" i="21" s="1"/>
  <c r="L58" i="2" l="1"/>
  <c r="J28" i="14"/>
  <c r="J68" i="2"/>
  <c r="J65" i="21" s="1"/>
  <c r="O65" i="21" s="1"/>
  <c r="E103" i="2"/>
  <c r="E30" i="14" s="1"/>
  <c r="F111" i="2"/>
  <c r="F19" i="14"/>
  <c r="J49" i="2"/>
  <c r="J46" i="21" s="1"/>
  <c r="O46" i="21" s="1"/>
  <c r="L33" i="19"/>
  <c r="J33" i="19" s="1"/>
  <c r="J24" i="14"/>
  <c r="L99" i="2"/>
  <c r="L29" i="14" s="1"/>
  <c r="J53" i="2"/>
  <c r="J50" i="21" s="1"/>
  <c r="O50" i="21" s="1"/>
  <c r="J40" i="2"/>
  <c r="J37" i="21" s="1"/>
  <c r="O37" i="21" s="1"/>
  <c r="F25" i="14"/>
  <c r="F120" i="2"/>
  <c r="J92" i="21"/>
  <c r="O92" i="21" s="1"/>
  <c r="E87" i="2"/>
  <c r="E119" i="2" s="1"/>
  <c r="D26" i="2"/>
  <c r="D19" i="2" s="1"/>
  <c r="J71" i="2"/>
  <c r="J68" i="21" s="1"/>
  <c r="O68" i="21" s="1"/>
  <c r="D20" i="10"/>
  <c r="D28" i="10" s="1"/>
  <c r="T97" i="10"/>
  <c r="T98" i="10" s="1"/>
  <c r="F36" i="19"/>
  <c r="F41" i="14" s="1"/>
  <c r="E116" i="2"/>
  <c r="E58" i="2"/>
  <c r="E35" i="2" s="1"/>
  <c r="E23" i="14" s="1"/>
  <c r="F121" i="2"/>
  <c r="D99" i="2"/>
  <c r="D29" i="14" s="1"/>
  <c r="C29" i="19"/>
  <c r="C27" i="19" s="1"/>
  <c r="C22" i="19" s="1"/>
  <c r="C36" i="19" s="1"/>
  <c r="C41" i="14" s="1"/>
  <c r="C87" i="2"/>
  <c r="D116" i="2"/>
  <c r="D114" i="2" s="1"/>
  <c r="C10" i="2"/>
  <c r="C18" i="2" s="1"/>
  <c r="C111" i="2" s="1"/>
  <c r="C58" i="2"/>
  <c r="C35" i="2" s="1"/>
  <c r="C23" i="14" s="1"/>
  <c r="B25" i="10"/>
  <c r="B33" i="10" s="1"/>
  <c r="B29" i="10"/>
  <c r="D119" i="2"/>
  <c r="J47" i="2"/>
  <c r="P89" i="10"/>
  <c r="R89" i="10"/>
  <c r="W97" i="10"/>
  <c r="W98" i="10" s="1"/>
  <c r="N21" i="19"/>
  <c r="N38" i="14" s="1"/>
  <c r="N88" i="10"/>
  <c r="J69" i="2"/>
  <c r="J66" i="21" s="1"/>
  <c r="O66" i="21" s="1"/>
  <c r="N72" i="2"/>
  <c r="N58" i="2" s="1"/>
  <c r="N35" i="2" s="1"/>
  <c r="M58" i="2"/>
  <c r="J72" i="2"/>
  <c r="J69" i="21" s="1"/>
  <c r="O69" i="21" s="1"/>
  <c r="M99" i="2"/>
  <c r="M29" i="14" s="1"/>
  <c r="N100" i="2"/>
  <c r="N99" i="2" s="1"/>
  <c r="N29" i="14" s="1"/>
  <c r="F112" i="2"/>
  <c r="F20" i="14"/>
  <c r="F30" i="2"/>
  <c r="G37" i="14"/>
  <c r="H37" i="14"/>
  <c r="G31" i="19"/>
  <c r="H31" i="19"/>
  <c r="H22" i="19" s="1"/>
  <c r="H39" i="14" s="1"/>
  <c r="D10" i="2"/>
  <c r="D31" i="19"/>
  <c r="G35" i="14"/>
  <c r="D31" i="2"/>
  <c r="D22" i="14" s="1"/>
  <c r="D74" i="2"/>
  <c r="D24" i="14" s="1"/>
  <c r="E91" i="2"/>
  <c r="E90" i="2" s="1"/>
  <c r="E27" i="14" s="1"/>
  <c r="E31" i="2"/>
  <c r="E22" i="14" s="1"/>
  <c r="E99" i="2"/>
  <c r="E29" i="14" s="1"/>
  <c r="E31" i="19"/>
  <c r="E22" i="19" s="1"/>
  <c r="E36" i="19" s="1"/>
  <c r="E41" i="14" s="1"/>
  <c r="G81" i="2"/>
  <c r="G25" i="14" s="1"/>
  <c r="V97" i="10"/>
  <c r="V98" i="10" s="1"/>
  <c r="G38" i="10"/>
  <c r="F38" i="10"/>
  <c r="M37" i="10" s="1"/>
  <c r="G22" i="19"/>
  <c r="G39" i="14" s="1"/>
  <c r="G18" i="2"/>
  <c r="D94" i="2"/>
  <c r="D90" i="2"/>
  <c r="D27" i="14" s="1"/>
  <c r="B20" i="10"/>
  <c r="C117" i="2"/>
  <c r="G36" i="14"/>
  <c r="J20" i="2"/>
  <c r="H24" i="14"/>
  <c r="H115" i="2"/>
  <c r="H10" i="2"/>
  <c r="H19" i="2"/>
  <c r="G35" i="2"/>
  <c r="D24" i="10"/>
  <c r="D32" i="10" s="1"/>
  <c r="D18" i="2"/>
  <c r="C41" i="10" s="1"/>
  <c r="C42" i="10" s="1"/>
  <c r="D58" i="2"/>
  <c r="C114" i="2"/>
  <c r="D21" i="10"/>
  <c r="E117" i="2"/>
  <c r="G116" i="2"/>
  <c r="H117" i="2"/>
  <c r="H58" i="2"/>
  <c r="H81" i="2"/>
  <c r="D81" i="2"/>
  <c r="D25" i="14" s="1"/>
  <c r="J34" i="19"/>
  <c r="J67" i="2"/>
  <c r="J64" i="21" s="1"/>
  <c r="O64" i="21" s="1"/>
  <c r="E10" i="2"/>
  <c r="E19" i="2"/>
  <c r="E20" i="14" s="1"/>
  <c r="J45" i="2"/>
  <c r="J42" i="21" s="1"/>
  <c r="O42" i="21" s="1"/>
  <c r="C39" i="14"/>
  <c r="E115" i="2"/>
  <c r="E114" i="2" s="1"/>
  <c r="K86" i="2"/>
  <c r="K81" i="2" s="1"/>
  <c r="K25" i="14" s="1"/>
  <c r="J28" i="2"/>
  <c r="C19" i="14" l="1"/>
  <c r="D19" i="14"/>
  <c r="E86" i="2"/>
  <c r="E81" i="2" s="1"/>
  <c r="G120" i="2"/>
  <c r="J44" i="21"/>
  <c r="O44" i="21" s="1"/>
  <c r="J25" i="21"/>
  <c r="O25" i="21" s="1"/>
  <c r="J17" i="21"/>
  <c r="O17" i="21" s="1"/>
  <c r="S98" i="10"/>
  <c r="E39" i="14"/>
  <c r="B41" i="10"/>
  <c r="B42" i="10" s="1"/>
  <c r="D111" i="2"/>
  <c r="C26" i="2"/>
  <c r="C86" i="2"/>
  <c r="C81" i="2" s="1"/>
  <c r="C25" i="14" s="1"/>
  <c r="E112" i="2"/>
  <c r="H36" i="19"/>
  <c r="H41" i="14" s="1"/>
  <c r="K21" i="19"/>
  <c r="N89" i="10"/>
  <c r="S97" i="10"/>
  <c r="J58" i="2"/>
  <c r="J55" i="21" s="1"/>
  <c r="O55" i="21" s="1"/>
  <c r="J100" i="2"/>
  <c r="F21" i="14"/>
  <c r="F89" i="2"/>
  <c r="G36" i="19"/>
  <c r="G41" i="14" s="1"/>
  <c r="D120" i="2"/>
  <c r="D121" i="2" s="1"/>
  <c r="E18" i="2"/>
  <c r="D41" i="10"/>
  <c r="D42" i="10" s="1"/>
  <c r="H35" i="2"/>
  <c r="D18" i="10"/>
  <c r="D26" i="10" s="1"/>
  <c r="D29" i="10"/>
  <c r="D25" i="10"/>
  <c r="D33" i="10" s="1"/>
  <c r="H20" i="14"/>
  <c r="H18" i="2"/>
  <c r="H114" i="2"/>
  <c r="D35" i="2"/>
  <c r="D23" i="14" s="1"/>
  <c r="G111" i="2"/>
  <c r="G19" i="14"/>
  <c r="G30" i="2"/>
  <c r="H120" i="2"/>
  <c r="H25" i="14"/>
  <c r="G114" i="2"/>
  <c r="G121" i="2" s="1"/>
  <c r="G23" i="14"/>
  <c r="G112" i="2"/>
  <c r="B28" i="10"/>
  <c r="B18" i="10"/>
  <c r="B26" i="10" s="1"/>
  <c r="B24" i="10"/>
  <c r="D20" i="14"/>
  <c r="D30" i="2"/>
  <c r="J99" i="2" l="1"/>
  <c r="J97" i="21"/>
  <c r="O97" i="21" s="1"/>
  <c r="E120" i="2"/>
  <c r="E121" i="2" s="1"/>
  <c r="E25" i="14"/>
  <c r="D112" i="2"/>
  <c r="C19" i="2"/>
  <c r="C119" i="2"/>
  <c r="C120" i="2"/>
  <c r="K38" i="14"/>
  <c r="J21" i="19"/>
  <c r="J38" i="14" s="1"/>
  <c r="Q90" i="10"/>
  <c r="V99" i="10" s="1"/>
  <c r="P90" i="10"/>
  <c r="U99" i="10" s="1"/>
  <c r="R90" i="10"/>
  <c r="W99" i="10" s="1"/>
  <c r="O90" i="10"/>
  <c r="T99" i="10" s="1"/>
  <c r="L32" i="2"/>
  <c r="F106" i="2"/>
  <c r="F26" i="14"/>
  <c r="B32" i="10"/>
  <c r="B22" i="10"/>
  <c r="B30" i="10" s="1"/>
  <c r="G21" i="14"/>
  <c r="G89" i="2"/>
  <c r="H121" i="2"/>
  <c r="H30" i="2"/>
  <c r="H111" i="2"/>
  <c r="O42" i="10"/>
  <c r="G42" i="10" s="1"/>
  <c r="H19" i="14"/>
  <c r="D22" i="10"/>
  <c r="D30" i="10" s="1"/>
  <c r="H23" i="14"/>
  <c r="E111" i="2"/>
  <c r="I43" i="10"/>
  <c r="I42" i="10" s="1"/>
  <c r="E19" i="14"/>
  <c r="E30" i="2"/>
  <c r="D21" i="14"/>
  <c r="D89" i="2"/>
  <c r="J29" i="14" l="1"/>
  <c r="J96" i="21"/>
  <c r="O96" i="21" s="1"/>
  <c r="C20" i="14"/>
  <c r="C112" i="2"/>
  <c r="C30" i="2"/>
  <c r="C121" i="2"/>
  <c r="L87" i="2"/>
  <c r="F31" i="14"/>
  <c r="F109" i="2"/>
  <c r="F33" i="14" s="1"/>
  <c r="H89" i="2"/>
  <c r="H21" i="14"/>
  <c r="E21" i="14"/>
  <c r="E89" i="2"/>
  <c r="G106" i="2"/>
  <c r="G26" i="14"/>
  <c r="D106" i="2"/>
  <c r="D26" i="14"/>
  <c r="C21" i="14" l="1"/>
  <c r="C89" i="2"/>
  <c r="L119" i="2"/>
  <c r="L86" i="2"/>
  <c r="L81" i="2" s="1"/>
  <c r="L25" i="14" s="1"/>
  <c r="G109" i="2"/>
  <c r="G33" i="14" s="1"/>
  <c r="G31" i="14"/>
  <c r="H106" i="2"/>
  <c r="H26" i="14"/>
  <c r="E26" i="14"/>
  <c r="E106" i="2"/>
  <c r="D31" i="14"/>
  <c r="D109" i="2"/>
  <c r="D33" i="14" s="1"/>
  <c r="D55" i="14" s="1"/>
  <c r="C106" i="2" l="1"/>
  <c r="C26" i="14"/>
  <c r="H32" i="14"/>
  <c r="H112" i="2"/>
  <c r="E31" i="14"/>
  <c r="E109" i="2"/>
  <c r="H31" i="14"/>
  <c r="H109" i="2"/>
  <c r="C10" i="18" l="1"/>
  <c r="C109" i="2"/>
  <c r="C31" i="14"/>
  <c r="M32" i="2"/>
  <c r="H33" i="14"/>
  <c r="E33" i="14"/>
  <c r="E16" i="19"/>
  <c r="F8" i="19" s="1"/>
  <c r="F16" i="19" s="1"/>
  <c r="G8" i="19" s="1"/>
  <c r="C16" i="19" l="1"/>
  <c r="C33" i="14"/>
  <c r="C55" i="14" s="1"/>
  <c r="M87" i="2"/>
  <c r="G16" i="19"/>
  <c r="H8" i="19"/>
  <c r="H16" i="19" s="1"/>
  <c r="J8" i="19" l="1"/>
  <c r="K8" i="19" s="1"/>
  <c r="I8" i="19"/>
  <c r="H23" i="10"/>
  <c r="H27" i="10"/>
  <c r="K27" i="10" s="1"/>
  <c r="K19" i="10"/>
  <c r="N32" i="2"/>
  <c r="M119" i="2"/>
  <c r="M86" i="2"/>
  <c r="M81" i="2" s="1"/>
  <c r="M25" i="14" s="1"/>
  <c r="K23" i="10" l="1"/>
  <c r="N87" i="2"/>
  <c r="J32" i="2"/>
  <c r="J29" i="21" l="1"/>
  <c r="O29" i="21" s="1"/>
  <c r="N86" i="2"/>
  <c r="N119" i="2"/>
  <c r="J119" i="2" s="1"/>
  <c r="J87" i="2"/>
  <c r="J84" i="21" s="1"/>
  <c r="O84" i="21" s="1"/>
  <c r="N81" i="2" l="1"/>
  <c r="N25" i="14" s="1"/>
  <c r="J116" i="21"/>
  <c r="O116" i="21" s="1"/>
  <c r="J86" i="2"/>
  <c r="J83" i="21" s="1"/>
  <c r="O83" i="21" s="1"/>
  <c r="K105" i="2"/>
  <c r="J81" i="2" l="1"/>
  <c r="J78" i="21" s="1"/>
  <c r="O78" i="21" s="1"/>
  <c r="L105" i="2"/>
  <c r="K103" i="2"/>
  <c r="K30" i="14" s="1"/>
  <c r="J25" i="14" l="1"/>
  <c r="M105" i="2"/>
  <c r="L103" i="2"/>
  <c r="L30" i="14" s="1"/>
  <c r="J23" i="2"/>
  <c r="J20" i="21" l="1"/>
  <c r="O20" i="21" s="1"/>
  <c r="N105" i="2"/>
  <c r="N103" i="2" s="1"/>
  <c r="N30" i="14" s="1"/>
  <c r="M103" i="2"/>
  <c r="M30" i="14" s="1"/>
  <c r="J105" i="2"/>
  <c r="J102" i="21" s="1"/>
  <c r="O102" i="21" s="1"/>
  <c r="H21" i="10"/>
  <c r="H29" i="10" s="1"/>
  <c r="J103" i="2" l="1"/>
  <c r="J100" i="21" s="1"/>
  <c r="O100" i="21" s="1"/>
  <c r="K29" i="10"/>
  <c r="H25" i="10"/>
  <c r="H33" i="10" s="1"/>
  <c r="K21" i="10"/>
  <c r="J30" i="14" l="1"/>
  <c r="K25" i="10"/>
  <c r="K33" i="10"/>
  <c r="M35" i="2" l="1"/>
  <c r="M23" i="14" s="1"/>
  <c r="M117" i="2"/>
  <c r="L117" i="2"/>
  <c r="L35" i="2"/>
  <c r="L23" i="14" s="1"/>
  <c r="N23" i="14"/>
  <c r="N117" i="2"/>
  <c r="L96" i="2" l="1"/>
  <c r="N118" i="2"/>
  <c r="N35" i="19" s="1"/>
  <c r="N40" i="14" s="1"/>
  <c r="N32" i="19"/>
  <c r="N31" i="19" s="1"/>
  <c r="N26" i="19"/>
  <c r="M118" i="2"/>
  <c r="M35" i="19" s="1"/>
  <c r="M40" i="14" s="1"/>
  <c r="L32" i="19"/>
  <c r="L31" i="19" s="1"/>
  <c r="L26" i="19"/>
  <c r="M32" i="19"/>
  <c r="M31" i="19" s="1"/>
  <c r="M26" i="19"/>
  <c r="L118" i="2"/>
  <c r="L35" i="19" s="1"/>
  <c r="L40" i="14" s="1"/>
  <c r="L29" i="2" l="1"/>
  <c r="M96" i="2"/>
  <c r="N96" i="2" s="1"/>
  <c r="L27" i="2"/>
  <c r="L120" i="2" s="1"/>
  <c r="K27" i="2"/>
  <c r="K120" i="2" s="1"/>
  <c r="N22" i="19"/>
  <c r="N36" i="19" s="1"/>
  <c r="N41" i="14" s="1"/>
  <c r="L22" i="19"/>
  <c r="L36" i="19" s="1"/>
  <c r="L41" i="14" s="1"/>
  <c r="M22" i="19"/>
  <c r="M29" i="2" l="1"/>
  <c r="N29" i="2"/>
  <c r="N39" i="14"/>
  <c r="L39" i="14"/>
  <c r="M39" i="14"/>
  <c r="M36" i="19"/>
  <c r="M41" i="14" s="1"/>
  <c r="J96" i="2" l="1"/>
  <c r="N27" i="2"/>
  <c r="N120" i="2" s="1"/>
  <c r="M27" i="2"/>
  <c r="M120" i="2" s="1"/>
  <c r="J29" i="2"/>
  <c r="J26" i="21" s="1"/>
  <c r="O26" i="21" s="1"/>
  <c r="J93" i="21" l="1"/>
  <c r="O93" i="21" s="1"/>
  <c r="J27" i="2"/>
  <c r="J120" i="2"/>
  <c r="K33" i="2"/>
  <c r="K11" i="2" s="1"/>
  <c r="J44" i="2"/>
  <c r="K117" i="2"/>
  <c r="J43" i="2"/>
  <c r="J40" i="21" s="1"/>
  <c r="O40" i="21" s="1"/>
  <c r="J41" i="21" l="1"/>
  <c r="O41" i="21" s="1"/>
  <c r="J117" i="21"/>
  <c r="O117" i="21" s="1"/>
  <c r="J24" i="21"/>
  <c r="O24" i="21" s="1"/>
  <c r="H20" i="10"/>
  <c r="H28" i="10" s="1"/>
  <c r="K35" i="2"/>
  <c r="K23" i="14" s="1"/>
  <c r="L33" i="2"/>
  <c r="L11" i="2" s="1"/>
  <c r="K31" i="2"/>
  <c r="K22" i="14" s="1"/>
  <c r="J117" i="2"/>
  <c r="K26" i="19"/>
  <c r="J26" i="19" s="1"/>
  <c r="K32" i="19"/>
  <c r="J35" i="2"/>
  <c r="J32" i="21" s="1"/>
  <c r="O32" i="21" s="1"/>
  <c r="J114" i="21" l="1"/>
  <c r="O114" i="21" s="1"/>
  <c r="J23" i="14"/>
  <c r="M33" i="2"/>
  <c r="M11" i="2" s="1"/>
  <c r="L31" i="2"/>
  <c r="L22" i="14" s="1"/>
  <c r="K20" i="10"/>
  <c r="H24" i="10"/>
  <c r="H32" i="10" s="1"/>
  <c r="K28" i="10"/>
  <c r="H18" i="10"/>
  <c r="K18" i="10" s="1"/>
  <c r="J24" i="2"/>
  <c r="J21" i="21" s="1"/>
  <c r="O21" i="21" s="1"/>
  <c r="K118" i="2"/>
  <c r="J32" i="19"/>
  <c r="J31" i="19" s="1"/>
  <c r="J22" i="19" s="1"/>
  <c r="K31" i="19"/>
  <c r="K22" i="19" s="1"/>
  <c r="K39" i="14" s="1"/>
  <c r="N33" i="2" l="1"/>
  <c r="N11" i="2" s="1"/>
  <c r="M31" i="2"/>
  <c r="M22" i="14" s="1"/>
  <c r="H26" i="10"/>
  <c r="K26" i="10" s="1"/>
  <c r="H22" i="10"/>
  <c r="H30" i="10" s="1"/>
  <c r="K24" i="10"/>
  <c r="K32" i="10"/>
  <c r="K35" i="19"/>
  <c r="J118" i="2"/>
  <c r="J39" i="14"/>
  <c r="J115" i="21" l="1"/>
  <c r="O115" i="21" s="1"/>
  <c r="J33" i="2"/>
  <c r="J30" i="21" s="1"/>
  <c r="O30" i="21" s="1"/>
  <c r="N31" i="2"/>
  <c r="N22" i="14" s="1"/>
  <c r="K36" i="19"/>
  <c r="K41" i="14" s="1"/>
  <c r="J35" i="19"/>
  <c r="J36" i="19" s="1"/>
  <c r="K40" i="14"/>
  <c r="K30" i="10"/>
  <c r="K22" i="10"/>
  <c r="J31" i="2" l="1"/>
  <c r="J28" i="21" s="1"/>
  <c r="O28" i="21" s="1"/>
  <c r="M14" i="2"/>
  <c r="M13" i="2" s="1"/>
  <c r="N14" i="2"/>
  <c r="N13" i="2" s="1"/>
  <c r="J40" i="14"/>
  <c r="J41" i="14"/>
  <c r="J22" i="14" l="1"/>
  <c r="L14" i="2"/>
  <c r="L13" i="2" s="1"/>
  <c r="L10" i="2" s="1"/>
  <c r="K14" i="2" l="1"/>
  <c r="K13" i="2" s="1"/>
  <c r="J14" i="2" l="1"/>
  <c r="J11" i="21" s="1"/>
  <c r="O11" i="21" s="1"/>
  <c r="J13" i="2"/>
  <c r="M22" i="2"/>
  <c r="N22" i="2"/>
  <c r="J10" i="21" l="1"/>
  <c r="O10" i="21" s="1"/>
  <c r="Q41" i="10"/>
  <c r="K22" i="2"/>
  <c r="L22" i="2"/>
  <c r="J22" i="2" l="1"/>
  <c r="J19" i="21" l="1"/>
  <c r="O19" i="21" s="1"/>
  <c r="L16" i="2"/>
  <c r="M10" i="2"/>
  <c r="M16" i="2" s="1"/>
  <c r="L20" i="19" l="1"/>
  <c r="L37" i="14" s="1"/>
  <c r="N10" i="2"/>
  <c r="N16" i="2" s="1"/>
  <c r="M20" i="19"/>
  <c r="M37" i="14" s="1"/>
  <c r="N20" i="19" l="1"/>
  <c r="N37" i="14" s="1"/>
  <c r="M18" i="2"/>
  <c r="L18" i="2"/>
  <c r="K10" i="2" l="1"/>
  <c r="K16" i="2" s="1"/>
  <c r="J11" i="2"/>
  <c r="J8" i="21" s="1"/>
  <c r="O8" i="21" s="1"/>
  <c r="L19" i="14"/>
  <c r="M19" i="14"/>
  <c r="N18" i="2"/>
  <c r="J10" i="2" l="1"/>
  <c r="J7" i="21" s="1"/>
  <c r="O7" i="21" s="1"/>
  <c r="N19" i="14"/>
  <c r="K20" i="19" l="1"/>
  <c r="J16" i="2"/>
  <c r="J13" i="21" s="1"/>
  <c r="O13" i="21" s="1"/>
  <c r="K18" i="2"/>
  <c r="J18" i="2" l="1"/>
  <c r="H40" i="10" s="1"/>
  <c r="M32" i="14"/>
  <c r="L32" i="14"/>
  <c r="K19" i="14"/>
  <c r="J20" i="19"/>
  <c r="J37" i="14" s="1"/>
  <c r="K37" i="14"/>
  <c r="Q43" i="10" l="1"/>
  <c r="H41" i="10" s="1"/>
  <c r="J19" i="14"/>
  <c r="Q42" i="10"/>
  <c r="H42" i="10" s="1"/>
  <c r="J15" i="21"/>
  <c r="O15" i="21" s="1"/>
  <c r="N32" i="14"/>
  <c r="K32" i="14" l="1"/>
  <c r="M115" i="2" l="1"/>
  <c r="L115" i="2"/>
  <c r="N115" i="2"/>
  <c r="N21" i="2" l="1"/>
  <c r="K115" i="2"/>
  <c r="J25" i="2"/>
  <c r="J22" i="21" l="1"/>
  <c r="O22" i="21" s="1"/>
  <c r="K21" i="2"/>
  <c r="J115" i="2"/>
  <c r="N19" i="2"/>
  <c r="N116" i="2"/>
  <c r="N114" i="2" s="1"/>
  <c r="N121" i="2" s="1"/>
  <c r="L21" i="2"/>
  <c r="M21" i="2"/>
  <c r="J112" i="21" l="1"/>
  <c r="O112" i="21" s="1"/>
  <c r="L116" i="2"/>
  <c r="L114" i="2" s="1"/>
  <c r="L121" i="2" s="1"/>
  <c r="L19" i="2"/>
  <c r="N20" i="14"/>
  <c r="N30" i="2"/>
  <c r="N112" i="2"/>
  <c r="J21" i="2"/>
  <c r="J18" i="21" s="1"/>
  <c r="O18" i="21" s="1"/>
  <c r="K116" i="2"/>
  <c r="K19" i="2"/>
  <c r="M19" i="2"/>
  <c r="M116" i="2"/>
  <c r="M114" i="2" s="1"/>
  <c r="M121" i="2" s="1"/>
  <c r="J19" i="2" l="1"/>
  <c r="J30" i="2" s="1"/>
  <c r="M20" i="14"/>
  <c r="M30" i="2"/>
  <c r="M112" i="2"/>
  <c r="K20" i="14"/>
  <c r="K30" i="2"/>
  <c r="K112" i="2"/>
  <c r="J20" i="14"/>
  <c r="N89" i="2"/>
  <c r="N21" i="14"/>
  <c r="L20" i="14"/>
  <c r="L30" i="2"/>
  <c r="L112" i="2"/>
  <c r="J116" i="2"/>
  <c r="K114" i="2"/>
  <c r="K121" i="2" s="1"/>
  <c r="J121" i="2" s="1"/>
  <c r="J118" i="21" l="1"/>
  <c r="O118" i="21" s="1"/>
  <c r="J113" i="21"/>
  <c r="O113" i="21" s="1"/>
  <c r="J27" i="21"/>
  <c r="O27" i="21" s="1"/>
  <c r="J16" i="21"/>
  <c r="O16" i="21" s="1"/>
  <c r="J114" i="2"/>
  <c r="L89" i="2"/>
  <c r="L21" i="14"/>
  <c r="K89" i="2"/>
  <c r="K21" i="14"/>
  <c r="N26" i="14"/>
  <c r="J21" i="14"/>
  <c r="J89" i="2"/>
  <c r="M21" i="14"/>
  <c r="M89" i="2"/>
  <c r="J111" i="21" l="1"/>
  <c r="O111" i="21" s="1"/>
  <c r="J86" i="21"/>
  <c r="O86" i="21" s="1"/>
  <c r="M26" i="14"/>
  <c r="J26" i="14"/>
  <c r="K26" i="14"/>
  <c r="L26" i="14"/>
  <c r="K92" i="2" l="1"/>
  <c r="K91" i="2" s="1"/>
  <c r="J91" i="2" s="1"/>
  <c r="K90" i="2" l="1"/>
  <c r="K27" i="14" l="1"/>
  <c r="K111" i="2"/>
  <c r="K106" i="2"/>
  <c r="K31" i="14" l="1"/>
  <c r="K109" i="2"/>
  <c r="G10" i="18"/>
  <c r="K33" i="14" l="1"/>
  <c r="K16" i="19"/>
  <c r="L8" i="19" s="1"/>
  <c r="N90" i="2" l="1"/>
  <c r="M90" i="2"/>
  <c r="N27" i="14" l="1"/>
  <c r="N111" i="2"/>
  <c r="N106" i="2"/>
  <c r="N109" i="2" s="1"/>
  <c r="N33" i="14" s="1"/>
  <c r="M106" i="2"/>
  <c r="M27" i="14"/>
  <c r="M111" i="2"/>
  <c r="J93" i="2"/>
  <c r="N31" i="14" l="1"/>
  <c r="J10" i="18"/>
  <c r="J92" i="2"/>
  <c r="J90" i="21"/>
  <c r="O90" i="21" s="1"/>
  <c r="I10" i="18"/>
  <c r="M31" i="14"/>
  <c r="M109" i="2"/>
  <c r="M33" i="14" s="1"/>
  <c r="L90" i="2" l="1"/>
  <c r="J89" i="21"/>
  <c r="O89" i="21" s="1"/>
  <c r="J88" i="21" l="1"/>
  <c r="O88" i="21" s="1"/>
  <c r="J90" i="2"/>
  <c r="L106" i="2"/>
  <c r="L27" i="14"/>
  <c r="L111" i="2"/>
  <c r="L109" i="2" l="1"/>
  <c r="L31" i="14"/>
  <c r="H10" i="18"/>
  <c r="J111" i="2"/>
  <c r="J87" i="21"/>
  <c r="O87" i="21" s="1"/>
  <c r="J27" i="14"/>
  <c r="J106" i="2"/>
  <c r="J107" i="2" l="1"/>
  <c r="J109" i="2" s="1"/>
  <c r="J31" i="14"/>
  <c r="J103" i="21"/>
  <c r="O103" i="21" s="1"/>
  <c r="F10" i="18"/>
  <c r="J108" i="21"/>
  <c r="O108" i="21" s="1"/>
  <c r="L33" i="14"/>
  <c r="L16" i="19"/>
  <c r="M8" i="19" s="1"/>
  <c r="M16" i="19" s="1"/>
  <c r="N8" i="19" s="1"/>
  <c r="N16" i="19" s="1"/>
  <c r="J33" i="14" l="1"/>
  <c r="J106" i="21"/>
  <c r="O106" i="21" s="1"/>
  <c r="J16" i="19"/>
  <c r="J104" i="21"/>
  <c r="O104" i="21" s="1"/>
  <c r="J112" i="2"/>
  <c r="J32" i="14"/>
  <c r="J109" i="21" l="1"/>
  <c r="O109" i="21" s="1"/>
</calcChain>
</file>

<file path=xl/sharedStrings.xml><?xml version="1.0" encoding="utf-8"?>
<sst xmlns="http://schemas.openxmlformats.org/spreadsheetml/2006/main" count="684" uniqueCount="393">
  <si>
    <t>Код рядка</t>
  </si>
  <si>
    <t>придбання (виготовлення) основних засобів</t>
  </si>
  <si>
    <t>придбання (створення) нематеріальних активів</t>
  </si>
  <si>
    <t>Витрати на оплату праці</t>
  </si>
  <si>
    <t>Відрахування на соціальні заходи</t>
  </si>
  <si>
    <t>Амортизація</t>
  </si>
  <si>
    <t xml:space="preserve">Код рядка </t>
  </si>
  <si>
    <t>Усього доходів</t>
  </si>
  <si>
    <t>Плановий рік (усього)</t>
  </si>
  <si>
    <t>витрати на страхові послуги</t>
  </si>
  <si>
    <t>витрати на аудиторські послуги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</si>
  <si>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</si>
  <si>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</si>
  <si>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</si>
  <si>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</si>
  <si>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</si>
  <si>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</si>
  <si>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</si>
  <si>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</si>
  <si>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</si>
  <si>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</si>
  <si>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</si>
  <si>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</si>
  <si>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</si>
  <si>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</si>
  <si>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</si>
  <si>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</si>
  <si>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</si>
  <si>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</si>
  <si>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</si>
  <si>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</si>
  <si>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</si>
  <si>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</si>
  <si>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</si>
  <si>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</si>
  <si>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</si>
  <si>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</si>
  <si>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</si>
  <si>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</si>
  <si>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</si>
  <si>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</si>
  <si>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</si>
  <si>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</si>
  <si>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</si>
  <si>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</si>
  <si>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</si>
  <si>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</si>
  <si>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</si>
  <si>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</si>
  <si>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</si>
  <si>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</si>
  <si>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</si>
  <si>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</si>
  <si>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</si>
  <si>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</si>
  <si>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</si>
  <si>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</si>
  <si>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</si>
  <si>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ІV </t>
  </si>
  <si>
    <t xml:space="preserve">ІІІ </t>
  </si>
  <si>
    <t xml:space="preserve">І </t>
  </si>
  <si>
    <t xml:space="preserve">ІІ 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</si>
  <si>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</si>
  <si>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</si>
  <si>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</si>
  <si>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</si>
  <si>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</si>
  <si>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</si>
  <si>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</si>
  <si>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</si>
  <si>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</si>
  <si>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</si>
  <si>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</si>
  <si>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</si>
  <si>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</si>
  <si>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</si>
  <si>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</si>
  <si>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</si>
  <si>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</si>
  <si>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</si>
  <si>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</si>
  <si>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</si>
  <si>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І. Формування фінансових результатів</t>
  </si>
  <si>
    <t>плата за користування надрами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</si>
  <si>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</si>
  <si>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</si>
  <si>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</si>
  <si>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</si>
  <si>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</si>
  <si>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</si>
  <si>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</si>
  <si>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</si>
  <si>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</si>
  <si>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</si>
  <si>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Інші витрати (розшифрувати)</t>
  </si>
  <si>
    <t>Інші фонди (розшифрувати)</t>
  </si>
  <si>
    <t>Інші цілі (розшифрувати)</t>
  </si>
  <si>
    <t>Усього витрат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</si>
  <si>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</si>
  <si>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</si>
  <si>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</si>
  <si>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</si>
  <si>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</si>
  <si>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</si>
  <si>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</si>
  <si>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</si>
  <si>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</si>
  <si>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</si>
  <si>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</si>
  <si>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</si>
  <si>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</si>
  <si>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______________________________________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</si>
  <si>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</si>
  <si>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</si>
  <si>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</si>
  <si>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</si>
  <si>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</si>
  <si>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</si>
  <si>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</si>
  <si>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</si>
  <si>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</si>
  <si>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</si>
  <si>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</si>
  <si>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</si>
  <si>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</si>
  <si>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</si>
  <si>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</si>
  <si>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</si>
  <si>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</si>
  <si>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</si>
  <si>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</si>
  <si>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</si>
  <si>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</si>
  <si>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</si>
  <si>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</si>
  <si>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</si>
  <si>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</si>
  <si>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</si>
  <si>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</si>
  <si>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</si>
  <si>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 xml:space="preserve">Вплив зміни валютних курсів на залишок коштів </t>
  </si>
  <si>
    <t>погашення податкового боргу, у тому числі:</t>
  </si>
  <si>
    <t>Собівартість реалізованої продукції (товарів, робіт, послуг)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</si>
  <si>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</si>
  <si>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</si>
  <si>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</si>
  <si>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</si>
  <si>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</si>
  <si>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</si>
  <si>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</si>
  <si>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</si>
  <si>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</si>
  <si>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</si>
  <si>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</si>
  <si>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</si>
  <si>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 xml:space="preserve">І  </t>
  </si>
  <si>
    <t xml:space="preserve">ІІ  </t>
  </si>
  <si>
    <t xml:space="preserve">ІІІ  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</si>
  <si>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</si>
  <si>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</si>
  <si>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</si>
  <si>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</si>
  <si>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</si>
  <si>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</si>
  <si>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</si>
  <si>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</si>
  <si>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</si>
  <si>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</si>
  <si>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</si>
  <si>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</si>
  <si>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Чистий дохід від реалізації продукції (товарів, робіт, послуг)</t>
  </si>
  <si>
    <t>витрати на оренду службових автомобілів</t>
  </si>
  <si>
    <t>Капітальні інвестиції</t>
  </si>
  <si>
    <t>IV. Капітальні інвестиції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</si>
  <si>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</si>
  <si>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</si>
  <si>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</si>
  <si>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</si>
  <si>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</si>
  <si>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</si>
  <si>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</si>
  <si>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Адміністративні витрати, у тому числі:</t>
  </si>
  <si>
    <t>Витрати на збут, у тому числі: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</si>
  <si>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</si>
  <si>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</si>
  <si>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</si>
  <si>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Найменування об’єкта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</si>
  <si>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</si>
  <si>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</si>
  <si>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</si>
  <si>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                      (посада)</t>
  </si>
  <si>
    <t>інші операційні витрати (розшифрувати)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</si>
  <si>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</si>
  <si>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</si>
  <si>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</si>
  <si>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</si>
  <si>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Дивіденди/відрахування частини чистого прибутку</t>
  </si>
  <si>
    <t>Усього виплат на користь держави</t>
  </si>
  <si>
    <t>Надходження</t>
  </si>
  <si>
    <t xml:space="preserve">Надходження </t>
  </si>
  <si>
    <t>Витрати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</si>
  <si>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</si>
  <si>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</si>
  <si>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</si>
  <si>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 xml:space="preserve">                    (підпис)</t>
  </si>
  <si>
    <t xml:space="preserve">                                     (посада)</t>
  </si>
  <si>
    <r>
      <t xml:space="preserve">Керівник </t>
    </r>
    <r>
      <rPr>
        <sz val="14"/>
        <rFont val="Times New Roman"/>
        <family val="1"/>
        <charset val="204"/>
      </rPr>
      <t>_______________________________</t>
    </r>
  </si>
  <si>
    <t xml:space="preserve">                                        (посада)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</si>
  <si>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</si>
  <si>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</si>
  <si>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</si>
  <si>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</si>
  <si>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</si>
  <si>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</si>
  <si>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</si>
  <si>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</si>
  <si>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</si>
  <si>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</si>
  <si>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</si>
  <si>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</si>
  <si>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</si>
  <si>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</si>
  <si>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</si>
  <si>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</si>
  <si>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</si>
  <si>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</si>
  <si>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</si>
  <si>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</si>
  <si>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</si>
  <si>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</si>
  <si>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</si>
  <si>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 xml:space="preserve">      Загальна інформація про підприємство (резюме)</t>
  </si>
  <si>
    <t>Мета використання</t>
  </si>
  <si>
    <t>План з повернення коштів</t>
  </si>
  <si>
    <t>План із залучення коштів</t>
  </si>
  <si>
    <t xml:space="preserve">Доходи </t>
  </si>
  <si>
    <t>Дохід (виручка) від реалізації продукції (товарів, робіт, послуг)</t>
  </si>
  <si>
    <t>Податок на додану вартість</t>
  </si>
  <si>
    <t>Інші вирахування з доходу (розшифрувати)</t>
  </si>
  <si>
    <t>від комерційної діяльності</t>
  </si>
  <si>
    <t>від державного бюджету</t>
  </si>
  <si>
    <t>від місцевого бюджету</t>
  </si>
  <si>
    <t xml:space="preserve">      3. Діючі фінансові зобов'язання підприємства</t>
  </si>
  <si>
    <t xml:space="preserve">      4. Інформація щодо отримання та повернення залучених коштів</t>
  </si>
  <si>
    <t xml:space="preserve">      7. Джерела капітальних інвестицій</t>
  </si>
  <si>
    <t>Заборгованість за кредитами на початок _______року</t>
  </si>
  <si>
    <t>у тому числі за їх видами</t>
  </si>
  <si>
    <t xml:space="preserve">I </t>
  </si>
  <si>
    <t>II</t>
  </si>
  <si>
    <t>III</t>
  </si>
  <si>
    <t>IV</t>
  </si>
  <si>
    <t>I</t>
  </si>
  <si>
    <t>ФІНАНСОВИЙ ПЛАН КОМУНАЛЬНОГО ПІДПРИЄМСТВА</t>
  </si>
  <si>
    <t>Інші операційні доходи</t>
  </si>
  <si>
    <t>Інші доходи</t>
  </si>
  <si>
    <t>Інші витрати</t>
  </si>
  <si>
    <t>Валовий: прибуток / збиток</t>
  </si>
  <si>
    <t>Фінансовий результат від операційної діяльності: прибуток/збиток</t>
  </si>
  <si>
    <t>Фінансовий результат до оподаткування: прибуток/збиток</t>
  </si>
  <si>
    <t>Фінансовий результат до оподаткування:  прибуток/збиток</t>
  </si>
  <si>
    <t>Чистий  фінансовий результат: прибуток/збиток</t>
  </si>
  <si>
    <t>Відрахування частини чистого прибутку до міського бюджету</t>
  </si>
  <si>
    <t xml:space="preserve">      2. Інформація про бізнес підприємства (код рядка 1040 "чистий дохід від реалізації продукції ( товарів, робіт, послуг)" фінансового плану)</t>
  </si>
  <si>
    <t xml:space="preserve">       5. Витрати, пов'язані з використанням власних службових автомобілів (у складі адміністративних витрат, рядок 1081)</t>
  </si>
  <si>
    <t xml:space="preserve">       6. Витрати на оренду службових автомобілів (у складі адміністративних витрат, рядок 1082)</t>
  </si>
  <si>
    <t>Доходи від фінансової діяльності</t>
  </si>
  <si>
    <t>Витрати від фінансової діяльності</t>
  </si>
  <si>
    <t xml:space="preserve">      8.  Капітальне будівництво (рядок 4010 таблиці 4)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</si>
  <si>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</si>
  <si>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</si>
  <si>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освоєння капітальних вкладень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</si>
  <si>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</si>
  <si>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</si>
  <si>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</si>
  <si>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</si>
  <si>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</si>
  <si>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фінансування капітальних інвестицій (оплата грошовими коштами), усього</t>
  </si>
  <si>
    <t>власні кошти</t>
  </si>
  <si>
    <t>кредитні кошти</t>
  </si>
  <si>
    <t>інші джерела (зазначити джерело)</t>
  </si>
  <si>
    <t>у тому числі</t>
  </si>
  <si>
    <t>тис.грн. (без ПДВ)</t>
  </si>
  <si>
    <t>Прогноз на поточний рік</t>
  </si>
  <si>
    <t xml:space="preserve">Зокрема за кварталами </t>
  </si>
  <si>
    <t>Фінансовий план поточного року</t>
  </si>
  <si>
    <t>водопостачання та водовідведення</t>
  </si>
  <si>
    <t>вивезення ТПВ</t>
  </si>
  <si>
    <t>зв'язок</t>
  </si>
  <si>
    <t>медогляд</t>
  </si>
  <si>
    <t>підписка</t>
  </si>
  <si>
    <t>банківські послуги</t>
  </si>
  <si>
    <t>штрафи, пені та судові збори</t>
  </si>
  <si>
    <t>податок на землю</t>
  </si>
  <si>
    <t>довідки для участі в конкурсних торгах, внесення змін до установчих документів</t>
  </si>
  <si>
    <t>податок на нерухомість</t>
  </si>
  <si>
    <t>послуги архіваріуса</t>
  </si>
  <si>
    <t>вибуття матеріальних активів</t>
  </si>
  <si>
    <t>дооцінка матеріальних активів</t>
  </si>
  <si>
    <t>військовий збір</t>
  </si>
  <si>
    <r>
      <t xml:space="preserve">ІІІ. Рух грошових коштів - </t>
    </r>
    <r>
      <rPr>
        <b/>
        <sz val="14"/>
        <color indexed="10"/>
        <rFont val="Times New Roman"/>
        <family val="1"/>
        <charset val="204"/>
      </rPr>
      <t>для малих - непотрібно</t>
    </r>
  </si>
  <si>
    <t>Комунальне підприємство електромереж зовнішнього освітлення "Міськсвітло" Черкаської міської ради</t>
  </si>
  <si>
    <t>амортизаційні відрахування</t>
  </si>
  <si>
    <t xml:space="preserve">Внески в статутний капітал КП "Міськсвітло" за рахунок коштів бюджету розвитку </t>
  </si>
  <si>
    <t>продовження</t>
  </si>
  <si>
    <r>
      <t>Керівник</t>
    </r>
    <r>
      <rPr>
        <sz val="14"/>
        <rFont val="Times New Roman"/>
        <family val="1"/>
        <charset val="204"/>
      </rPr>
      <t xml:space="preserve">          </t>
    </r>
    <r>
      <rPr>
        <u/>
        <sz val="14"/>
        <rFont val="Times New Roman"/>
        <family val="1"/>
        <charset val="204"/>
      </rPr>
      <t xml:space="preserve"> Директор КП "Міськсвітло" </t>
    </r>
  </si>
  <si>
    <t xml:space="preserve">В.О.Терьохін </t>
  </si>
  <si>
    <t xml:space="preserve"> (підпис)</t>
  </si>
  <si>
    <t>пеня</t>
  </si>
  <si>
    <t>оренда матеріальних активів</t>
  </si>
  <si>
    <t>штрафні санкції</t>
  </si>
  <si>
    <t>ремонт комп'ютерів, заправка катріджів</t>
  </si>
  <si>
    <t>податок на воду</t>
  </si>
  <si>
    <t>електроенергія</t>
  </si>
  <si>
    <t>організаційно-технічні послуги (програмне забезпечення)</t>
  </si>
  <si>
    <t>ТО автомобілів, запасні частини</t>
  </si>
  <si>
    <t xml:space="preserve">                                           (посада)</t>
  </si>
  <si>
    <t>Сума, валюта за догово-рами</t>
  </si>
  <si>
    <t>Процен-тна ставка</t>
  </si>
  <si>
    <t>Дата видачі/ пога-шення (графік)</t>
  </si>
  <si>
    <t>Забор-гованість на останню дату</t>
  </si>
  <si>
    <t>витрати, що здійснюються для підтримання об’єкта в робочому стані (проведення ремонту, техогляду, нагляду, обсл. тощо)</t>
  </si>
  <si>
    <t>безоплатна передача основних засобів</t>
  </si>
  <si>
    <t>резерв відпусток</t>
  </si>
  <si>
    <t>2147/1</t>
  </si>
  <si>
    <t>2147/2</t>
  </si>
  <si>
    <t>2147/3</t>
  </si>
  <si>
    <t>Факт 2015 року</t>
  </si>
  <si>
    <t>за 2015 рік</t>
  </si>
  <si>
    <t xml:space="preserve"> 1/1</t>
  </si>
  <si>
    <t xml:space="preserve"> 1/2</t>
  </si>
  <si>
    <t xml:space="preserve"> 1/3</t>
  </si>
  <si>
    <t>фінансова пітримка балансоутримувача з місцевого бюджету, в т. ч. на:</t>
  </si>
  <si>
    <t>послуги пульту управління зовнішнім освітленням міста</t>
  </si>
  <si>
    <t>параметризація приладів обліку</t>
  </si>
  <si>
    <t>суміжні послуги з утримання мереж зовнішнього освітлення та матеріальних цінностей, а саме:</t>
  </si>
  <si>
    <t xml:space="preserve"> 1/1/1</t>
  </si>
  <si>
    <t>нагляд за станом мереж та устаткуванням</t>
  </si>
  <si>
    <t>Факт 2016 року</t>
  </si>
  <si>
    <t>за 2016 рік</t>
  </si>
  <si>
    <t>ЕВІТДА</t>
  </si>
  <si>
    <t xml:space="preserve">капітальний ремонт </t>
  </si>
  <si>
    <t xml:space="preserve"> 1/4</t>
  </si>
  <si>
    <t xml:space="preserve">Основні фінансові показники </t>
  </si>
  <si>
    <t xml:space="preserve">Додаток </t>
  </si>
  <si>
    <t>ЗАТВЕРДЖЕНО</t>
  </si>
  <si>
    <t>рішення виконавчого комітету</t>
  </si>
  <si>
    <t xml:space="preserve">Черкаської міської ради </t>
  </si>
  <si>
    <t>від_______________№________</t>
  </si>
  <si>
    <t>амортизація об'єктів вуличної мережі</t>
  </si>
  <si>
    <t xml:space="preserve">оплата електроенергії на освітлення міста </t>
  </si>
  <si>
    <t>поточний ремонт мереж зовнішнього освітлення міста</t>
  </si>
  <si>
    <t>послуги з поточного ремонту мереж зовнішнього освітлення міста</t>
  </si>
  <si>
    <t>оплата за електроенергію на освітлення міста</t>
  </si>
  <si>
    <t>інші послуги</t>
  </si>
  <si>
    <t xml:space="preserve">Факт 2017 року </t>
  </si>
  <si>
    <t>витрати на конверти, марки, папір, канцтовари</t>
  </si>
  <si>
    <t>4 868,8                 тис. кВт</t>
  </si>
  <si>
    <t>4 987,7                   тис. кВт</t>
  </si>
  <si>
    <t>4 987,7               тис. кВт</t>
  </si>
  <si>
    <t>1 (КТКВ 1217670, КФК 0490)</t>
  </si>
  <si>
    <t>3</t>
  </si>
  <si>
    <t>4</t>
  </si>
  <si>
    <t xml:space="preserve">до фінансового плану на 2020 рік </t>
  </si>
  <si>
    <t xml:space="preserve">Факт 2018 року </t>
  </si>
  <si>
    <t>Фінансовий план 2019 року</t>
  </si>
  <si>
    <t>нагляд за станом устаткування світлофорних об'єктів</t>
  </si>
  <si>
    <t>на 2020 рік   (зі змінами)</t>
  </si>
  <si>
    <t>I. Формування фінансових результатів  (зі змінами)</t>
  </si>
  <si>
    <t>ІІ. Розрахунки з бюджетом  (зі змінами)</t>
  </si>
  <si>
    <t>IV. Капітальні інвестиції (зі змінами)</t>
  </si>
  <si>
    <t>Комунальне підприємство електромереж зовнішнього освітлення "Міськсвітло" Черкаської міської ради (зі змінами)</t>
  </si>
  <si>
    <t>Фінансовий план 2020 року</t>
  </si>
  <si>
    <t>Плановий 2020 рік  (зі змінами)</t>
  </si>
  <si>
    <t>Зміни</t>
  </si>
  <si>
    <t>Пояснення</t>
  </si>
  <si>
    <t xml:space="preserve">Порівняльна таблиця змін
до фінансового плану Комунального підприємства електромереж зовнішнього освітлення "Міськсвітло" Черкаської міської ради
на 2020 рік 
</t>
  </si>
  <si>
    <t>Терьохін В.О.</t>
  </si>
  <si>
    <t>збільшення цін на послуги в зв'язку з підвищенням розміру заробітної плати працівників</t>
  </si>
  <si>
    <t>підвищення заробітної плати для дотримання норм Територіальної угоди на 2020-2022 роки</t>
  </si>
  <si>
    <t>консльтаційні послуги проведення процедур закупівель</t>
  </si>
  <si>
    <t xml:space="preserve">додатково в зв'язку з передачею на баланс будівлі по вул. Героїв Майдану, 3/2 </t>
  </si>
  <si>
    <t>придбання двох комплектів шин для автомобілів</t>
  </si>
  <si>
    <t>Факт 2019 року</t>
  </si>
  <si>
    <t xml:space="preserve">Факт 2019 року </t>
  </si>
  <si>
    <t>Плановий 2020 рік (зі змінами) до плану 2020 року, %</t>
  </si>
  <si>
    <t>4 476,9 тис.кВт</t>
  </si>
  <si>
    <t>4 085,4                тис. кВт</t>
  </si>
  <si>
    <t>проведено процедуру закупівлі, укладено договір на зазначену суму</t>
  </si>
  <si>
    <t>проведено процедуру закупівлі, роботи виконує підрядник, що є платником ПДВ</t>
  </si>
  <si>
    <t>збільшення через визначення виконавця надання послуг з поточного ремонту МЗО, яий є платником ПДВ</t>
  </si>
  <si>
    <t>дотримання норм Територіальної угоди на 2020-2022р.</t>
  </si>
  <si>
    <t>реєстраційні дії, пов'язані з передачею на баланс будівлі по вул. Героїв Майдану, 3/2</t>
  </si>
  <si>
    <t>зменшено витрати на придбання матеріалів так як на складі підприємства є металеві конструкції після демонтажу обладнання, які придатні для подальшого використання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</si>
</sst>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0.0%"/>
  </numFmts>
  <fonts count="8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7"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1" fillId="2" borderId="0" applyNumberFormat="0" applyBorder="0" applyAlignment="0" applyProtection="0"/>
    <xf numFmtId="0" fontId="1" fillId="2" borderId="0" applyNumberFormat="0" applyBorder="0" applyAlignment="0" applyProtection="0"/>
    <xf numFmtId="0" fontId="31" fillId="3" borderId="0" applyNumberFormat="0" applyBorder="0" applyAlignment="0" applyProtection="0"/>
    <xf numFmtId="0" fontId="1" fillId="3" borderId="0" applyNumberFormat="0" applyBorder="0" applyAlignment="0" applyProtection="0"/>
    <xf numFmtId="0" fontId="3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5" fillId="3" borderId="0" applyNumberFormat="0" applyBorder="0" applyAlignment="0" applyProtection="0"/>
    <xf numFmtId="0" fontId="17" fillId="20" borderId="1" applyNumberFormat="0" applyAlignment="0" applyProtection="0"/>
    <xf numFmtId="0" fontId="22" fillId="21" borderId="2" applyNumberFormat="0" applyAlignment="0" applyProtection="0"/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49" fontId="33" fillId="0" borderId="3">
      <alignment horizontal="center" vertical="center"/>
      <protection locked="0"/>
    </xf>
    <xf numFmtId="168" fontId="11" fillId="0" borderId="0" applyFont="0" applyFill="0" applyBorder="0" applyAlignment="0" applyProtection="0"/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49" fontId="11" fillId="0" borderId="3">
      <alignment horizontal="left" vertical="center"/>
      <protection locked="0"/>
    </xf>
    <xf numFmtId="0" fontId="26" fillId="0" borderId="0" applyNumberFormat="0" applyFill="0" applyBorder="0" applyAlignment="0" applyProtection="0"/>
    <xf numFmtId="171" fontId="34" fillId="0" borderId="0" applyAlignment="0">
      <alignment wrapText="1"/>
    </xf>
    <xf numFmtId="0" fontId="29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11" fillId="0" borderId="0" applyNumberFormat="0" applyFont="0" applyAlignment="0">
      <alignment vertical="top" wrapText="1"/>
      <protection locked="0"/>
    </xf>
    <xf numFmtId="49" fontId="36" fillId="22" borderId="7">
      <alignment horizontal="left" vertical="center"/>
      <protection locked="0"/>
    </xf>
    <xf numFmtId="49" fontId="36" fillId="22" borderId="7">
      <alignment horizontal="left" vertical="center"/>
    </xf>
    <xf numFmtId="4" fontId="36" fillId="22" borderId="7">
      <alignment horizontal="right" vertical="center"/>
      <protection locked="0"/>
    </xf>
    <xf numFmtId="4" fontId="36" fillId="22" borderId="7">
      <alignment horizontal="right" vertical="center"/>
    </xf>
    <xf numFmtId="4" fontId="37" fillId="22" borderId="7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9" fontId="33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  <protection locked="0"/>
    </xf>
    <xf numFmtId="4" fontId="33" fillId="22" borderId="3">
      <alignment horizontal="right" vertical="center"/>
    </xf>
    <xf numFmtId="4" fontId="33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" fontId="45" fillId="0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9" fontId="44" fillId="0" borderId="3">
      <alignment horizontal="left" vertical="center"/>
      <protection locked="0"/>
    </xf>
    <xf numFmtId="49" fontId="45" fillId="0" borderId="3">
      <alignment horizontal="left" vertical="center"/>
      <protection locked="0"/>
    </xf>
    <xf numFmtId="4" fontId="44" fillId="0" borderId="3">
      <alignment horizontal="right" vertical="center"/>
      <protection locked="0"/>
    </xf>
    <xf numFmtId="0" fontId="27" fillId="0" borderId="8" applyNumberFormat="0" applyFill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8" fillId="26" borderId="3">
      <alignment horizontal="right" vertical="center"/>
      <protection locked="0"/>
    </xf>
    <xf numFmtId="4" fontId="48" fillId="27" borderId="3">
      <alignment horizontal="right" vertical="center"/>
      <protection locked="0"/>
    </xf>
    <xf numFmtId="4" fontId="48" fillId="28" borderId="3">
      <alignment horizontal="right" vertical="center"/>
      <protection locked="0"/>
    </xf>
    <xf numFmtId="0" fontId="16" fillId="20" borderId="10" applyNumberFormat="0" applyAlignment="0" applyProtection="0"/>
    <xf numFmtId="49" fontId="33" fillId="0" borderId="3">
      <alignment horizontal="left" vertical="center" wrapText="1"/>
      <protection locked="0"/>
    </xf>
    <xf numFmtId="49" fontId="33" fillId="0" borderId="3">
      <alignment horizontal="left" vertical="center" wrapText="1"/>
      <protection locked="0"/>
    </xf>
    <xf numFmtId="0" fontId="23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32" fillId="18" borderId="0" applyNumberFormat="0" applyBorder="0" applyAlignment="0" applyProtection="0"/>
    <xf numFmtId="0" fontId="14" fillId="18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9" borderId="0" applyNumberFormat="0" applyBorder="0" applyAlignment="0" applyProtection="0"/>
    <xf numFmtId="0" fontId="14" fillId="19" borderId="0" applyNumberFormat="0" applyBorder="0" applyAlignment="0" applyProtection="0"/>
    <xf numFmtId="0" fontId="49" fillId="7" borderId="1" applyNumberFormat="0" applyAlignment="0" applyProtection="0"/>
    <xf numFmtId="0" fontId="15" fillId="7" borderId="1" applyNumberFormat="0" applyAlignment="0" applyProtection="0"/>
    <xf numFmtId="0" fontId="50" fillId="20" borderId="10" applyNumberFormat="0" applyAlignment="0" applyProtection="0"/>
    <xf numFmtId="0" fontId="16" fillId="20" borderId="10" applyNumberFormat="0" applyAlignment="0" applyProtection="0"/>
    <xf numFmtId="0" fontId="51" fillId="20" borderId="1" applyNumberFormat="0" applyAlignment="0" applyProtection="0"/>
    <xf numFmtId="0" fontId="17" fillId="20" borderId="1" applyNumberFormat="0" applyAlignment="0" applyProtection="0"/>
    <xf numFmtId="166" fontId="2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2" fillId="0" borderId="4" applyNumberFormat="0" applyFill="0" applyAlignment="0" applyProtection="0"/>
    <xf numFmtId="0" fontId="18" fillId="0" borderId="4" applyNumberFormat="0" applyFill="0" applyAlignment="0" applyProtection="0"/>
    <xf numFmtId="0" fontId="53" fillId="0" borderId="5" applyNumberFormat="0" applyFill="0" applyAlignment="0" applyProtection="0"/>
    <xf numFmtId="0" fontId="19" fillId="0" borderId="5" applyNumberFormat="0" applyFill="0" applyAlignment="0" applyProtection="0"/>
    <xf numFmtId="0" fontId="54" fillId="0" borderId="6" applyNumberFormat="0" applyFill="0" applyAlignment="0" applyProtection="0"/>
    <xf numFmtId="0" fontId="20" fillId="0" borderId="6" applyNumberFormat="0" applyFill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21" fillId="0" borderId="11" applyNumberFormat="0" applyFill="0" applyAlignment="0" applyProtection="0"/>
    <xf numFmtId="0" fontId="56" fillId="21" borderId="2" applyNumberFormat="0" applyAlignment="0" applyProtection="0"/>
    <xf numFmtId="0" fontId="22" fillId="21" borderId="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3" borderId="0" applyNumberFormat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1" fillId="0" borderId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58" fillId="3" borderId="0" applyNumberFormat="0" applyBorder="0" applyAlignment="0" applyProtection="0"/>
    <xf numFmtId="0" fontId="25" fillId="3" borderId="0" applyNumberFormat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5" borderId="9" applyNumberFormat="0" applyFont="0" applyAlignment="0" applyProtection="0"/>
    <xf numFmtId="0" fontId="11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1" fillId="0" borderId="8" applyNumberFormat="0" applyFill="0" applyAlignment="0" applyProtection="0"/>
    <xf numFmtId="0" fontId="27" fillId="0" borderId="8" applyNumberFormat="0" applyFill="0" applyAlignment="0" applyProtection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64" fillId="0" borderId="0" applyFont="0" applyFill="0" applyBorder="0" applyAlignment="0" applyProtection="0"/>
    <xf numFmtId="174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5" fillId="4" borderId="0" applyNumberFormat="0" applyBorder="0" applyAlignment="0" applyProtection="0"/>
    <xf numFmtId="0" fontId="29" fillId="4" borderId="0" applyNumberFormat="0" applyBorder="0" applyAlignment="0" applyProtection="0"/>
    <xf numFmtId="176" fontId="66" fillId="22" borderId="12" applyFill="0" applyBorder="0">
      <alignment horizontal="center" vertical="center" wrapText="1"/>
      <protection locked="0"/>
    </xf>
    <xf numFmtId="171" fontId="67" fillId="0" borderId="0">
      <alignment wrapText="1"/>
    </xf>
    <xf numFmtId="171" fontId="34" fillId="0" borderId="0">
      <alignment wrapText="1"/>
    </xf>
  </cellStyleXfs>
  <cellXfs count="514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0" fontId="6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0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48" applyFont="1" applyFill="1" applyBorder="1" applyAlignment="1">
      <alignment horizontal="center" vertical="center" wrapText="1"/>
    </xf>
    <xf numFmtId="0" fontId="5" fillId="0" borderId="0" xfId="248" applyFont="1" applyFill="1" applyBorder="1" applyAlignment="1">
      <alignment vertical="center"/>
    </xf>
    <xf numFmtId="0" fontId="5" fillId="0" borderId="3" xfId="248" applyFont="1" applyFill="1" applyBorder="1" applyAlignment="1">
      <alignment horizontal="left" vertical="center" wrapText="1"/>
    </xf>
    <xf numFmtId="0" fontId="4" fillId="0" borderId="0" xfId="248" applyFont="1" applyFill="1" applyBorder="1" applyAlignment="1">
      <alignment vertical="center"/>
    </xf>
    <xf numFmtId="0" fontId="5" fillId="0" borderId="0" xfId="248" applyFont="1" applyFill="1" applyBorder="1" applyAlignment="1">
      <alignment horizontal="center" vertical="center"/>
    </xf>
    <xf numFmtId="0" fontId="4" fillId="0" borderId="0" xfId="248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8" applyFont="1" applyFill="1" applyBorder="1" applyAlignment="1">
      <alignment horizontal="center" vertical="center"/>
    </xf>
    <xf numFmtId="0" fontId="5" fillId="0" borderId="3" xfId="2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8" applyFont="1" applyFill="1" applyBorder="1" applyAlignment="1">
      <alignment horizontal="left" vertical="center" wrapText="1"/>
    </xf>
    <xf numFmtId="0" fontId="13" fillId="0" borderId="0" xfId="248" applyFont="1" applyFill="1"/>
    <xf numFmtId="0" fontId="5" fillId="0" borderId="0" xfId="248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4" fillId="0" borderId="0" xfId="0" quotePrefix="1" applyFont="1" applyFill="1" applyBorder="1" applyAlignment="1">
      <alignment horizontal="center"/>
    </xf>
    <xf numFmtId="170" fontId="4" fillId="0" borderId="0" xfId="0" quotePrefix="1" applyNumberFormat="1" applyFont="1" applyFill="1" applyBorder="1" applyAlignment="1">
      <alignment horizontal="center"/>
    </xf>
    <xf numFmtId="170" fontId="4" fillId="0" borderId="0" xfId="0" applyNumberFormat="1" applyFont="1" applyFill="1" applyBorder="1" applyAlignment="1">
      <alignment horizontal="center"/>
    </xf>
    <xf numFmtId="170" fontId="5" fillId="0" borderId="0" xfId="248" applyNumberFormat="1" applyFont="1" applyFill="1" applyBorder="1" applyAlignment="1">
      <alignment horizontal="center" vertical="center" wrapText="1"/>
    </xf>
    <xf numFmtId="170" fontId="5" fillId="0" borderId="0" xfId="248" applyNumberFormat="1" applyFont="1" applyFill="1" applyBorder="1" applyAlignment="1">
      <alignment horizontal="right" vertical="center" wrapText="1"/>
    </xf>
    <xf numFmtId="0" fontId="5" fillId="0" borderId="0" xfId="248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182" applyFont="1" applyFill="1" applyBorder="1" applyAlignment="1">
      <alignment vertical="center" wrapText="1"/>
      <protection locked="0"/>
    </xf>
    <xf numFmtId="0" fontId="4" fillId="0" borderId="3" xfId="182" applyFont="1" applyFill="1" applyBorder="1" applyAlignment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3" xfId="248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169" fontId="68" fillId="0" borderId="3" xfId="0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29" borderId="3" xfId="0" applyFont="1" applyFill="1" applyBorder="1" applyAlignment="1">
      <alignment horizontal="left" vertical="center" wrapText="1"/>
    </xf>
    <xf numFmtId="0" fontId="4" fillId="29" borderId="3" xfId="0" quotePrefix="1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vertical="center"/>
    </xf>
    <xf numFmtId="0" fontId="4" fillId="29" borderId="17" xfId="0" applyFont="1" applyFill="1" applyBorder="1" applyAlignment="1">
      <alignment horizontal="center" vertical="center"/>
    </xf>
    <xf numFmtId="0" fontId="4" fillId="29" borderId="3" xfId="248" applyFont="1" applyFill="1" applyBorder="1" applyAlignment="1">
      <alignment horizontal="left" vertical="center" wrapText="1"/>
    </xf>
    <xf numFmtId="0" fontId="4" fillId="29" borderId="3" xfId="248" applyFont="1" applyFill="1" applyBorder="1" applyAlignment="1">
      <alignment horizontal="center" vertical="center" wrapText="1"/>
    </xf>
    <xf numFmtId="0" fontId="4" fillId="29" borderId="0" xfId="248" applyFont="1" applyFill="1" applyBorder="1" applyAlignment="1">
      <alignment vertical="center"/>
    </xf>
    <xf numFmtId="0" fontId="4" fillId="29" borderId="0" xfId="0" applyFont="1" applyFill="1" applyAlignment="1">
      <alignment vertical="center"/>
    </xf>
    <xf numFmtId="0" fontId="4" fillId="29" borderId="3" xfId="0" quotePrefix="1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center" vertical="center" wrapText="1"/>
    </xf>
    <xf numFmtId="170" fontId="4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 shrinkToFit="1"/>
    </xf>
    <xf numFmtId="2" fontId="9" fillId="0" borderId="15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 shrinkToFit="1"/>
    </xf>
    <xf numFmtId="170" fontId="4" fillId="29" borderId="3" xfId="0" quotePrefix="1" applyNumberFormat="1" applyFont="1" applyFill="1" applyBorder="1" applyAlignment="1">
      <alignment horizontal="center" vertical="center" wrapText="1"/>
    </xf>
    <xf numFmtId="170" fontId="4" fillId="29" borderId="3" xfId="0" applyNumberFormat="1" applyFont="1" applyFill="1" applyBorder="1" applyAlignment="1">
      <alignment horizontal="center" vertical="center" wrapText="1"/>
    </xf>
    <xf numFmtId="170" fontId="4" fillId="0" borderId="3" xfId="248" applyNumberFormat="1" applyFont="1" applyFill="1" applyBorder="1" applyAlignment="1">
      <alignment horizontal="center" vertical="center" wrapText="1"/>
    </xf>
    <xf numFmtId="170" fontId="4" fillId="29" borderId="3" xfId="248" applyNumberFormat="1" applyFont="1" applyFill="1" applyBorder="1" applyAlignment="1">
      <alignment horizontal="center" vertical="center" wrapText="1"/>
    </xf>
    <xf numFmtId="170" fontId="4" fillId="0" borderId="3" xfId="0" quotePrefix="1" applyNumberFormat="1" applyFont="1" applyFill="1" applyBorder="1" applyAlignment="1">
      <alignment horizontal="center" vertical="center" wrapText="1"/>
    </xf>
    <xf numFmtId="0" fontId="4" fillId="29" borderId="3" xfId="0" applyFont="1" applyFill="1" applyBorder="1" applyAlignment="1">
      <alignment horizontal="center" vertical="center"/>
    </xf>
    <xf numFmtId="4" fontId="5" fillId="0" borderId="3" xfId="211" applyNumberFormat="1" applyFont="1" applyFill="1" applyBorder="1" applyAlignment="1">
      <alignment horizontal="center" vertical="center" wrapText="1"/>
    </xf>
    <xf numFmtId="170" fontId="5" fillId="0" borderId="3" xfId="248" applyNumberFormat="1" applyFont="1" applyFill="1" applyBorder="1" applyAlignment="1">
      <alignment horizontal="center" vertical="center" wrapText="1"/>
    </xf>
    <xf numFmtId="170" fontId="6" fillId="0" borderId="3" xfId="248" applyNumberFormat="1" applyFont="1" applyFill="1" applyBorder="1" applyAlignment="1">
      <alignment horizontal="center" vertical="center" wrapText="1"/>
    </xf>
    <xf numFmtId="170" fontId="5" fillId="0" borderId="3" xfId="248" quotePrefix="1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9" fontId="5" fillId="0" borderId="0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6" fillId="0" borderId="3" xfId="248" applyFont="1" applyFill="1" applyBorder="1" applyAlignment="1">
      <alignment horizontal="left" vertical="center" wrapText="1"/>
    </xf>
    <xf numFmtId="0" fontId="6" fillId="0" borderId="3" xfId="248" applyFont="1" applyFill="1" applyBorder="1" applyAlignment="1">
      <alignment horizontal="center" vertical="center" wrapText="1"/>
    </xf>
    <xf numFmtId="0" fontId="6" fillId="0" borderId="0" xfId="248" applyFont="1" applyFill="1" applyBorder="1" applyAlignment="1">
      <alignment vertical="center"/>
    </xf>
    <xf numFmtId="170" fontId="5" fillId="30" borderId="3" xfId="248" applyNumberFormat="1" applyFont="1" applyFill="1" applyBorder="1" applyAlignment="1">
      <alignment horizontal="center" vertical="center" wrapText="1"/>
    </xf>
    <xf numFmtId="169" fontId="4" fillId="29" borderId="3" xfId="0" applyNumberFormat="1" applyFont="1" applyFill="1" applyBorder="1" applyAlignment="1">
      <alignment horizontal="center" vertical="center" wrapText="1"/>
    </xf>
    <xf numFmtId="169" fontId="5" fillId="30" borderId="3" xfId="0" applyNumberFormat="1" applyFont="1" applyFill="1" applyBorder="1" applyAlignment="1">
      <alignment horizontal="center" vertical="center" wrapText="1"/>
    </xf>
    <xf numFmtId="0" fontId="5" fillId="30" borderId="0" xfId="0" applyFont="1" applyFill="1" applyBorder="1" applyAlignment="1">
      <alignment horizontal="center" vertical="center"/>
    </xf>
    <xf numFmtId="0" fontId="4" fillId="30" borderId="0" xfId="0" applyFont="1" applyFill="1" applyBorder="1" applyAlignment="1">
      <alignment horizontal="center" vertical="center"/>
    </xf>
    <xf numFmtId="0" fontId="4" fillId="30" borderId="0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169" fontId="4" fillId="30" borderId="3" xfId="0" applyNumberFormat="1" applyFont="1" applyFill="1" applyBorder="1" applyAlignment="1">
      <alignment horizontal="center" vertical="center" wrapText="1"/>
    </xf>
    <xf numFmtId="169" fontId="5" fillId="30" borderId="3" xfId="0" applyNumberFormat="1" applyFont="1" applyFill="1" applyBorder="1" applyAlignment="1">
      <alignment horizontal="left" vertical="center" wrapText="1"/>
    </xf>
    <xf numFmtId="169" fontId="4" fillId="30" borderId="3" xfId="0" quotePrefix="1" applyNumberFormat="1" applyFont="1" applyFill="1" applyBorder="1" applyAlignment="1">
      <alignment horizontal="center" vertical="center" wrapText="1"/>
    </xf>
    <xf numFmtId="169" fontId="71" fillId="30" borderId="3" xfId="0" applyNumberFormat="1" applyFont="1" applyFill="1" applyBorder="1" applyAlignment="1">
      <alignment horizontal="center" vertical="center" wrapText="1"/>
    </xf>
    <xf numFmtId="169" fontId="6" fillId="30" borderId="3" xfId="0" applyNumberFormat="1" applyFont="1" applyFill="1" applyBorder="1" applyAlignment="1">
      <alignment horizontal="center" vertical="center" wrapText="1"/>
    </xf>
    <xf numFmtId="169" fontId="71" fillId="30" borderId="3" xfId="0" quotePrefix="1" applyNumberFormat="1" applyFont="1" applyFill="1" applyBorder="1" applyAlignment="1">
      <alignment horizontal="center" vertical="center" wrapText="1"/>
    </xf>
    <xf numFmtId="169" fontId="5" fillId="30" borderId="3" xfId="0" quotePrefix="1" applyNumberFormat="1" applyFont="1" applyFill="1" applyBorder="1" applyAlignment="1">
      <alignment horizontal="center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0" fontId="5" fillId="30" borderId="3" xfId="0" quotePrefix="1" applyNumberFormat="1" applyFont="1" applyFill="1" applyBorder="1" applyAlignment="1">
      <alignment horizontal="center" vertical="center" wrapText="1"/>
    </xf>
    <xf numFmtId="170" fontId="4" fillId="30" borderId="3" xfId="0" quotePrefix="1" applyNumberFormat="1" applyFont="1" applyFill="1" applyBorder="1" applyAlignment="1">
      <alignment horizontal="center" vertical="center" wrapText="1"/>
    </xf>
    <xf numFmtId="170" fontId="4" fillId="30" borderId="0" xfId="0" quotePrefix="1" applyNumberFormat="1" applyFont="1" applyFill="1" applyBorder="1" applyAlignment="1">
      <alignment horizontal="center"/>
    </xf>
    <xf numFmtId="170" fontId="5" fillId="30" borderId="0" xfId="0" applyNumberFormat="1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0" fontId="4" fillId="30" borderId="3" xfId="0" applyFont="1" applyFill="1" applyBorder="1" applyAlignment="1">
      <alignment horizontal="left" vertical="center" wrapText="1"/>
    </xf>
    <xf numFmtId="0" fontId="4" fillId="30" borderId="3" xfId="0" quotePrefix="1" applyFont="1" applyFill="1" applyBorder="1" applyAlignment="1">
      <alignment horizontal="center" vertical="center"/>
    </xf>
    <xf numFmtId="0" fontId="5" fillId="30" borderId="0" xfId="0" applyFont="1" applyFill="1" applyBorder="1" applyAlignment="1">
      <alignment vertical="center"/>
    </xf>
    <xf numFmtId="0" fontId="4" fillId="30" borderId="0" xfId="0" applyFont="1" applyFill="1" applyBorder="1" applyAlignment="1">
      <alignment vertical="center"/>
    </xf>
    <xf numFmtId="0" fontId="4" fillId="30" borderId="0" xfId="0" applyFont="1" applyFill="1" applyBorder="1" applyAlignment="1">
      <alignment vertical="center" wrapText="1"/>
    </xf>
    <xf numFmtId="0" fontId="5" fillId="30" borderId="0" xfId="0" applyFont="1" applyFill="1" applyAlignment="1">
      <alignment vertical="center"/>
    </xf>
    <xf numFmtId="0" fontId="5" fillId="30" borderId="0" xfId="0" applyFont="1" applyFill="1" applyAlignment="1">
      <alignment vertical="center" wrapText="1"/>
    </xf>
    <xf numFmtId="0" fontId="4" fillId="30" borderId="3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left" vertical="center" wrapText="1"/>
    </xf>
    <xf numFmtId="3" fontId="4" fillId="30" borderId="3" xfId="0" applyNumberFormat="1" applyFont="1" applyFill="1" applyBorder="1" applyAlignment="1">
      <alignment horizontal="center" vertical="center" wrapText="1"/>
    </xf>
    <xf numFmtId="3" fontId="5" fillId="30" borderId="3" xfId="0" applyNumberFormat="1" applyFont="1" applyFill="1" applyBorder="1" applyAlignment="1">
      <alignment horizontal="center" vertical="center" wrapText="1"/>
    </xf>
    <xf numFmtId="0" fontId="5" fillId="30" borderId="0" xfId="0" applyFont="1" applyFill="1" applyBorder="1"/>
    <xf numFmtId="0" fontId="4" fillId="30" borderId="0" xfId="0" applyFont="1" applyFill="1" applyBorder="1" applyAlignment="1">
      <alignment horizontal="left" vertical="center"/>
    </xf>
    <xf numFmtId="0" fontId="7" fillId="30" borderId="0" xfId="0" applyFont="1" applyFill="1" applyAlignment="1">
      <alignment horizontal="center" vertical="center"/>
    </xf>
    <xf numFmtId="9" fontId="5" fillId="30" borderId="3" xfId="294" applyFont="1" applyFill="1" applyBorder="1" applyAlignment="1">
      <alignment horizontal="center" vertical="center" wrapText="1"/>
    </xf>
    <xf numFmtId="1" fontId="5" fillId="30" borderId="0" xfId="0" applyNumberFormat="1" applyFont="1" applyFill="1" applyBorder="1" applyAlignment="1">
      <alignment horizontal="center" vertical="center"/>
    </xf>
    <xf numFmtId="0" fontId="8" fillId="30" borderId="0" xfId="0" applyFont="1" applyFill="1" applyBorder="1" applyAlignment="1">
      <alignment vertical="center"/>
    </xf>
    <xf numFmtId="0" fontId="4" fillId="30" borderId="13" xfId="0" applyFont="1" applyFill="1" applyBorder="1" applyAlignment="1">
      <alignment horizontal="left" vertical="center" wrapText="1"/>
    </xf>
    <xf numFmtId="169" fontId="4" fillId="30" borderId="0" xfId="0" applyNumberFormat="1" applyFont="1" applyFill="1" applyBorder="1" applyAlignment="1">
      <alignment horizontal="right" vertical="center" wrapText="1"/>
    </xf>
    <xf numFmtId="0" fontId="5" fillId="30" borderId="13" xfId="0" applyFont="1" applyFill="1" applyBorder="1" applyAlignment="1">
      <alignment vertical="center"/>
    </xf>
    <xf numFmtId="0" fontId="5" fillId="30" borderId="0" xfId="0" applyFont="1" applyFill="1" applyBorder="1" applyAlignment="1">
      <alignment horizontal="left" vertical="center" wrapText="1"/>
    </xf>
    <xf numFmtId="0" fontId="0" fillId="30" borderId="0" xfId="0" applyFill="1" applyBorder="1" applyAlignment="1">
      <alignment horizontal="left" vertical="center" wrapText="1"/>
    </xf>
    <xf numFmtId="0" fontId="5" fillId="30" borderId="0" xfId="0" quotePrefix="1" applyFont="1" applyFill="1" applyBorder="1" applyAlignment="1">
      <alignment horizontal="center" vertical="center"/>
    </xf>
    <xf numFmtId="170" fontId="5" fillId="30" borderId="0" xfId="0" applyNumberFormat="1" applyFont="1" applyFill="1" applyBorder="1" applyAlignment="1">
      <alignment horizontal="center" vertical="center"/>
    </xf>
    <xf numFmtId="169" fontId="5" fillId="30" borderId="17" xfId="0" applyNumberFormat="1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vertical="center"/>
    </xf>
    <xf numFmtId="0" fontId="77" fillId="30" borderId="0" xfId="0" applyFont="1" applyFill="1" applyBorder="1" applyAlignment="1">
      <alignment horizontal="center" vertical="center" wrapText="1"/>
    </xf>
    <xf numFmtId="169" fontId="72" fillId="30" borderId="3" xfId="0" quotePrefix="1" applyNumberFormat="1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170" fontId="4" fillId="30" borderId="3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70" fontId="4" fillId="30" borderId="0" xfId="0" quotePrefix="1" applyNumberFormat="1" applyFont="1" applyFill="1" applyBorder="1" applyAlignment="1">
      <alignment horizontal="center" vertical="center" wrapText="1"/>
    </xf>
    <xf numFmtId="170" fontId="4" fillId="0" borderId="0" xfId="0" quotePrefix="1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vertical="center"/>
    </xf>
    <xf numFmtId="170" fontId="4" fillId="29" borderId="0" xfId="248" applyNumberFormat="1" applyFont="1" applyFill="1" applyBorder="1" applyAlignment="1">
      <alignment vertical="center"/>
    </xf>
    <xf numFmtId="0" fontId="5" fillId="30" borderId="3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9" fontId="4" fillId="30" borderId="0" xfId="0" applyNumberFormat="1" applyFont="1" applyFill="1" applyBorder="1" applyAlignment="1">
      <alignment vertical="center"/>
    </xf>
    <xf numFmtId="49" fontId="5" fillId="30" borderId="3" xfId="0" applyNumberFormat="1" applyFont="1" applyFill="1" applyBorder="1" applyAlignment="1">
      <alignment horizontal="left" vertical="center" wrapText="1"/>
    </xf>
    <xf numFmtId="0" fontId="5" fillId="30" borderId="3" xfId="0" quotePrefix="1" applyFont="1" applyFill="1" applyBorder="1" applyAlignment="1">
      <alignment horizontal="center" vertical="center"/>
    </xf>
    <xf numFmtId="169" fontId="9" fillId="30" borderId="3" xfId="0" applyNumberFormat="1" applyFont="1" applyFill="1" applyBorder="1" applyAlignment="1">
      <alignment horizontal="center" vertical="center" wrapText="1"/>
    </xf>
    <xf numFmtId="0" fontId="71" fillId="30" borderId="3" xfId="0" applyFont="1" applyFill="1" applyBorder="1" applyAlignment="1">
      <alignment horizontal="left" vertical="center" wrapText="1"/>
    </xf>
    <xf numFmtId="0" fontId="71" fillId="30" borderId="3" xfId="0" quotePrefix="1" applyFont="1" applyFill="1" applyBorder="1" applyAlignment="1">
      <alignment horizontal="center" vertical="center"/>
    </xf>
    <xf numFmtId="170" fontId="71" fillId="30" borderId="3" xfId="0" applyNumberFormat="1" applyFont="1" applyFill="1" applyBorder="1" applyAlignment="1">
      <alignment horizontal="center" vertical="center" wrapText="1"/>
    </xf>
    <xf numFmtId="0" fontId="71" fillId="30" borderId="0" xfId="0" applyFont="1" applyFill="1" applyBorder="1" applyAlignment="1">
      <alignment vertical="center"/>
    </xf>
    <xf numFmtId="49" fontId="71" fillId="30" borderId="3" xfId="0" applyNumberFormat="1" applyFont="1" applyFill="1" applyBorder="1" applyAlignment="1">
      <alignment horizontal="left" vertical="center" wrapText="1"/>
    </xf>
    <xf numFmtId="0" fontId="71" fillId="30" borderId="0" xfId="0" applyFont="1" applyFill="1" applyAlignment="1">
      <alignment vertical="center"/>
    </xf>
    <xf numFmtId="170" fontId="6" fillId="30" borderId="3" xfId="0" applyNumberFormat="1" applyFont="1" applyFill="1" applyBorder="1" applyAlignment="1">
      <alignment horizontal="center" vertical="center" wrapText="1"/>
    </xf>
    <xf numFmtId="0" fontId="5" fillId="30" borderId="17" xfId="0" applyFont="1" applyFill="1" applyBorder="1" applyAlignment="1">
      <alignment horizontal="left" vertical="center" wrapText="1"/>
    </xf>
    <xf numFmtId="0" fontId="5" fillId="30" borderId="17" xfId="0" quotePrefix="1" applyFont="1" applyFill="1" applyBorder="1" applyAlignment="1">
      <alignment horizontal="center" vertical="center"/>
    </xf>
    <xf numFmtId="170" fontId="5" fillId="30" borderId="17" xfId="0" applyNumberFormat="1" applyFont="1" applyFill="1" applyBorder="1" applyAlignment="1">
      <alignment horizontal="center" vertical="center" wrapText="1"/>
    </xf>
    <xf numFmtId="170" fontId="9" fillId="30" borderId="3" xfId="0" applyNumberFormat="1" applyFont="1" applyFill="1" applyBorder="1" applyAlignment="1">
      <alignment horizontal="center" vertical="center" wrapText="1"/>
    </xf>
    <xf numFmtId="0" fontId="4" fillId="30" borderId="3" xfId="0" applyFont="1" applyFill="1" applyBorder="1" applyAlignment="1">
      <alignment horizontal="left" vertical="center" wrapText="1" shrinkToFit="1"/>
    </xf>
    <xf numFmtId="16" fontId="72" fillId="30" borderId="3" xfId="0" quotePrefix="1" applyNumberFormat="1" applyFont="1" applyFill="1" applyBorder="1" applyAlignment="1">
      <alignment horizontal="center" vertical="center"/>
    </xf>
    <xf numFmtId="170" fontId="72" fillId="30" borderId="3" xfId="0" applyNumberFormat="1" applyFont="1" applyFill="1" applyBorder="1" applyAlignment="1">
      <alignment horizontal="center" vertical="center" wrapText="1"/>
    </xf>
    <xf numFmtId="0" fontId="72" fillId="30" borderId="0" xfId="0" applyFont="1" applyFill="1" applyBorder="1" applyAlignment="1">
      <alignment vertical="center"/>
    </xf>
    <xf numFmtId="0" fontId="72" fillId="30" borderId="3" xfId="0" applyFont="1" applyFill="1" applyBorder="1" applyAlignment="1">
      <alignment horizontal="right" vertical="center" wrapText="1"/>
    </xf>
    <xf numFmtId="0" fontId="71" fillId="30" borderId="3" xfId="0" applyFont="1" applyFill="1" applyBorder="1" applyAlignment="1">
      <alignment wrapText="1"/>
    </xf>
    <xf numFmtId="0" fontId="5" fillId="30" borderId="3" xfId="0" quotePrefix="1" applyFont="1" applyFill="1" applyBorder="1" applyAlignment="1">
      <alignment horizontal="center" vertical="center" wrapText="1"/>
    </xf>
    <xf numFmtId="0" fontId="4" fillId="30" borderId="3" xfId="0" quotePrefix="1" applyFont="1" applyFill="1" applyBorder="1" applyAlignment="1">
      <alignment horizontal="center" vertical="center" wrapText="1"/>
    </xf>
    <xf numFmtId="0" fontId="5" fillId="30" borderId="3" xfId="0" applyNumberFormat="1" applyFont="1" applyFill="1" applyBorder="1" applyAlignment="1">
      <alignment horizontal="center" vertical="center" wrapText="1"/>
    </xf>
    <xf numFmtId="0" fontId="5" fillId="30" borderId="3" xfId="0" quotePrefix="1" applyNumberFormat="1" applyFont="1" applyFill="1" applyBorder="1" applyAlignment="1">
      <alignment horizontal="center" vertical="center" wrapText="1"/>
    </xf>
    <xf numFmtId="9" fontId="4" fillId="0" borderId="0" xfId="294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169" fontId="73" fillId="30" borderId="0" xfId="0" applyNumberFormat="1" applyFont="1" applyFill="1" applyBorder="1" applyAlignment="1">
      <alignment vertical="center"/>
    </xf>
    <xf numFmtId="0" fontId="74" fillId="30" borderId="3" xfId="0" applyFont="1" applyFill="1" applyBorder="1" applyAlignment="1">
      <alignment horizontal="left" vertical="center" wrapText="1"/>
    </xf>
    <xf numFmtId="0" fontId="6" fillId="30" borderId="17" xfId="0" quotePrefix="1" applyFont="1" applyFill="1" applyBorder="1" applyAlignment="1">
      <alignment horizontal="center" vertical="center"/>
    </xf>
    <xf numFmtId="0" fontId="74" fillId="30" borderId="17" xfId="0" quotePrefix="1" applyFont="1" applyFill="1" applyBorder="1" applyAlignment="1">
      <alignment horizontal="center" vertical="center"/>
    </xf>
    <xf numFmtId="170" fontId="74" fillId="30" borderId="3" xfId="0" applyNumberFormat="1" applyFont="1" applyFill="1" applyBorder="1" applyAlignment="1">
      <alignment horizontal="center" vertical="center" wrapText="1"/>
    </xf>
    <xf numFmtId="49" fontId="6" fillId="30" borderId="3" xfId="0" applyNumberFormat="1" applyFont="1" applyFill="1" applyBorder="1" applyAlignment="1">
      <alignment horizontal="left" vertical="center" wrapText="1"/>
    </xf>
    <xf numFmtId="0" fontId="6" fillId="30" borderId="3" xfId="0" applyFont="1" applyFill="1" applyBorder="1" applyAlignment="1">
      <alignment horizontal="center" vertical="center" wrapText="1"/>
    </xf>
    <xf numFmtId="0" fontId="73" fillId="30" borderId="0" xfId="0" applyFont="1" applyFill="1" applyBorder="1" applyAlignment="1">
      <alignment vertical="center"/>
    </xf>
    <xf numFmtId="0" fontId="5" fillId="30" borderId="3" xfId="0" applyFont="1" applyFill="1" applyBorder="1" applyAlignment="1">
      <alignment horizontal="center" vertical="center" wrapText="1"/>
    </xf>
    <xf numFmtId="170" fontId="5" fillId="30" borderId="0" xfId="0" applyNumberFormat="1" applyFont="1" applyFill="1" applyBorder="1" applyAlignment="1">
      <alignment vertical="center"/>
    </xf>
    <xf numFmtId="169" fontId="5" fillId="3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wrapText="1" shrinkToFit="1"/>
    </xf>
    <xf numFmtId="170" fontId="6" fillId="30" borderId="0" xfId="0" applyNumberFormat="1" applyFont="1" applyFill="1" applyBorder="1" applyAlignment="1">
      <alignment vertical="center"/>
    </xf>
    <xf numFmtId="0" fontId="72" fillId="0" borderId="0" xfId="0" applyFont="1" applyFill="1" applyBorder="1" applyAlignment="1">
      <alignment horizontal="center" vertical="center"/>
    </xf>
    <xf numFmtId="169" fontId="72" fillId="30" borderId="0" xfId="0" applyNumberFormat="1" applyFont="1" applyFill="1" applyBorder="1" applyAlignment="1">
      <alignment vertical="center"/>
    </xf>
    <xf numFmtId="170" fontId="72" fillId="30" borderId="0" xfId="0" applyNumberFormat="1" applyFont="1" applyFill="1" applyBorder="1" applyAlignment="1">
      <alignment vertical="center"/>
    </xf>
    <xf numFmtId="0" fontId="7" fillId="0" borderId="0" xfId="248" applyFont="1" applyFill="1" applyBorder="1" applyAlignment="1">
      <alignment vertical="center"/>
    </xf>
    <xf numFmtId="0" fontId="7" fillId="30" borderId="1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0" fontId="0" fillId="30" borderId="3" xfId="0" applyFill="1" applyBorder="1" applyAlignment="1">
      <alignment horizontal="left" vertical="center" wrapText="1"/>
    </xf>
    <xf numFmtId="0" fontId="0" fillId="30" borderId="3" xfId="0" applyFill="1" applyBorder="1" applyAlignment="1">
      <alignment horizontal="left" vertical="center" wrapText="1" shrinkToFit="1"/>
    </xf>
    <xf numFmtId="9" fontId="5" fillId="0" borderId="3" xfId="0" applyNumberFormat="1" applyFont="1" applyFill="1" applyBorder="1" applyAlignment="1">
      <alignment horizontal="center" vertical="center" wrapText="1"/>
    </xf>
    <xf numFmtId="170" fontId="5" fillId="30" borderId="3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70" fontId="4" fillId="30" borderId="3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9" fillId="0" borderId="20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3" fontId="9" fillId="0" borderId="20" xfId="0" applyNumberFormat="1" applyFont="1" applyFill="1" applyBorder="1" applyAlignment="1">
      <alignment horizontal="center" vertical="center" wrapText="1" shrinkToFit="1"/>
    </xf>
    <xf numFmtId="3" fontId="5" fillId="0" borderId="20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30" borderId="15" xfId="0" applyFont="1" applyFill="1" applyBorder="1" applyAlignment="1">
      <alignment horizontal="left" vertical="center" wrapText="1"/>
    </xf>
    <xf numFmtId="0" fontId="71" fillId="30" borderId="19" xfId="0" applyFont="1" applyFill="1" applyBorder="1" applyAlignment="1">
      <alignment wrapText="1"/>
    </xf>
    <xf numFmtId="0" fontId="71" fillId="30" borderId="19" xfId="0" quotePrefix="1" applyFont="1" applyFill="1" applyBorder="1" applyAlignment="1">
      <alignment horizontal="center" vertical="center"/>
    </xf>
    <xf numFmtId="169" fontId="71" fillId="30" borderId="19" xfId="0" quotePrefix="1" applyNumberFormat="1" applyFont="1" applyFill="1" applyBorder="1" applyAlignment="1">
      <alignment horizontal="center" vertical="center" wrapText="1"/>
    </xf>
    <xf numFmtId="170" fontId="6" fillId="30" borderId="19" xfId="0" applyNumberFormat="1" applyFont="1" applyFill="1" applyBorder="1" applyAlignment="1">
      <alignment horizontal="center" vertical="center" wrapText="1"/>
    </xf>
    <xf numFmtId="170" fontId="71" fillId="30" borderId="19" xfId="0" applyNumberFormat="1" applyFont="1" applyFill="1" applyBorder="1" applyAlignment="1">
      <alignment horizontal="center" vertical="center" wrapText="1"/>
    </xf>
    <xf numFmtId="0" fontId="4" fillId="30" borderId="17" xfId="0" applyFont="1" applyFill="1" applyBorder="1" applyAlignment="1">
      <alignment horizontal="left" vertical="center" wrapText="1"/>
    </xf>
    <xf numFmtId="0" fontId="4" fillId="30" borderId="17" xfId="0" quotePrefix="1" applyFont="1" applyFill="1" applyBorder="1" applyAlignment="1">
      <alignment horizontal="center" vertical="center"/>
    </xf>
    <xf numFmtId="169" fontId="4" fillId="30" borderId="17" xfId="0" applyNumberFormat="1" applyFont="1" applyFill="1" applyBorder="1" applyAlignment="1">
      <alignment horizontal="center" vertical="center" wrapText="1"/>
    </xf>
    <xf numFmtId="170" fontId="4" fillId="30" borderId="17" xfId="0" applyNumberFormat="1" applyFont="1" applyFill="1" applyBorder="1" applyAlignment="1">
      <alignment horizontal="center" vertical="center" wrapText="1"/>
    </xf>
    <xf numFmtId="0" fontId="5" fillId="30" borderId="19" xfId="0" applyFont="1" applyFill="1" applyBorder="1" applyAlignment="1">
      <alignment horizontal="left" vertical="center" wrapText="1"/>
    </xf>
    <xf numFmtId="0" fontId="5" fillId="30" borderId="19" xfId="0" quotePrefix="1" applyFont="1" applyFill="1" applyBorder="1" applyAlignment="1">
      <alignment horizontal="center" vertical="center"/>
    </xf>
    <xf numFmtId="169" fontId="5" fillId="30" borderId="19" xfId="0" applyNumberFormat="1" applyFont="1" applyFill="1" applyBorder="1" applyAlignment="1">
      <alignment horizontal="center" vertical="center" wrapText="1"/>
    </xf>
    <xf numFmtId="170" fontId="5" fillId="30" borderId="19" xfId="0" applyNumberFormat="1" applyFont="1" applyFill="1" applyBorder="1" applyAlignment="1">
      <alignment horizontal="center" vertical="center" wrapText="1"/>
    </xf>
    <xf numFmtId="170" fontId="6" fillId="30" borderId="17" xfId="0" applyNumberFormat="1" applyFont="1" applyFill="1" applyBorder="1" applyAlignment="1">
      <alignment horizontal="center" vertical="center" wrapText="1"/>
    </xf>
    <xf numFmtId="0" fontId="5" fillId="30" borderId="15" xfId="0" quotePrefix="1" applyFont="1" applyFill="1" applyBorder="1" applyAlignment="1">
      <alignment horizontal="center" vertical="center"/>
    </xf>
    <xf numFmtId="169" fontId="5" fillId="30" borderId="15" xfId="0" applyNumberFormat="1" applyFont="1" applyFill="1" applyBorder="1" applyAlignment="1">
      <alignment horizontal="center" vertical="center" wrapText="1"/>
    </xf>
    <xf numFmtId="170" fontId="5" fillId="30" borderId="15" xfId="0" applyNumberFormat="1" applyFont="1" applyFill="1" applyBorder="1" applyAlignment="1">
      <alignment horizontal="center" vertical="center" wrapText="1"/>
    </xf>
    <xf numFmtId="170" fontId="6" fillId="30" borderId="15" xfId="0" applyNumberFormat="1" applyFont="1" applyFill="1" applyBorder="1" applyAlignment="1">
      <alignment horizontal="center" vertical="center" wrapText="1"/>
    </xf>
    <xf numFmtId="0" fontId="71" fillId="30" borderId="15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3" fontId="4" fillId="0" borderId="15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vertical="center" wrapText="1"/>
    </xf>
    <xf numFmtId="170" fontId="5" fillId="30" borderId="15" xfId="0" applyNumberFormat="1" applyFont="1" applyFill="1" applyBorder="1" applyAlignment="1">
      <alignment horizontal="right" vertical="center" wrapText="1"/>
    </xf>
    <xf numFmtId="170" fontId="71" fillId="30" borderId="15" xfId="0" applyNumberFormat="1" applyFont="1" applyFill="1" applyBorder="1" applyAlignment="1">
      <alignment wrapText="1"/>
    </xf>
    <xf numFmtId="178" fontId="4" fillId="0" borderId="0" xfId="29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30" borderId="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0" borderId="15" xfId="0" applyFont="1" applyFill="1" applyBorder="1" applyAlignment="1">
      <alignment horizontal="left" vertical="center" wrapText="1"/>
    </xf>
    <xf numFmtId="170" fontId="4" fillId="30" borderId="20" xfId="0" applyNumberFormat="1" applyFont="1" applyFill="1" applyBorder="1" applyAlignment="1">
      <alignment horizontal="center" vertical="center" wrapText="1"/>
    </xf>
    <xf numFmtId="170" fontId="5" fillId="30" borderId="20" xfId="0" applyNumberFormat="1" applyFont="1" applyFill="1" applyBorder="1" applyAlignment="1">
      <alignment horizontal="center" vertical="center" wrapText="1"/>
    </xf>
    <xf numFmtId="170" fontId="6" fillId="30" borderId="20" xfId="0" applyNumberFormat="1" applyFont="1" applyFill="1" applyBorder="1" applyAlignment="1">
      <alignment horizontal="center" vertical="center" wrapText="1"/>
    </xf>
    <xf numFmtId="170" fontId="4" fillId="30" borderId="20" xfId="0" applyNumberFormat="1" applyFont="1" applyFill="1" applyBorder="1" applyAlignment="1">
      <alignment horizontal="left" vertical="center" wrapText="1"/>
    </xf>
    <xf numFmtId="170" fontId="4" fillId="30" borderId="20" xfId="0" quotePrefix="1" applyNumberFormat="1" applyFont="1" applyFill="1" applyBorder="1" applyAlignment="1">
      <alignment horizontal="center" vertical="center" wrapText="1"/>
    </xf>
    <xf numFmtId="170" fontId="71" fillId="30" borderId="20" xfId="0" applyNumberFormat="1" applyFont="1" applyFill="1" applyBorder="1" applyAlignment="1">
      <alignment horizontal="center" vertical="center" wrapText="1"/>
    </xf>
    <xf numFmtId="170" fontId="4" fillId="0" borderId="20" xfId="0" quotePrefix="1" applyNumberFormat="1" applyFont="1" applyFill="1" applyBorder="1" applyAlignment="1">
      <alignment horizontal="center" vertical="center" wrapText="1"/>
    </xf>
    <xf numFmtId="170" fontId="9" fillId="30" borderId="20" xfId="0" applyNumberFormat="1" applyFont="1" applyFill="1" applyBorder="1" applyAlignment="1">
      <alignment horizontal="center" vertical="center" wrapText="1"/>
    </xf>
    <xf numFmtId="170" fontId="5" fillId="30" borderId="21" xfId="0" applyNumberFormat="1" applyFont="1" applyFill="1" applyBorder="1" applyAlignment="1">
      <alignment horizontal="center" vertical="center" wrapText="1"/>
    </xf>
    <xf numFmtId="170" fontId="5" fillId="30" borderId="22" xfId="0" applyNumberFormat="1" applyFont="1" applyFill="1" applyBorder="1" applyAlignment="1">
      <alignment horizontal="center" vertical="center" wrapText="1"/>
    </xf>
    <xf numFmtId="170" fontId="74" fillId="30" borderId="20" xfId="0" applyNumberFormat="1" applyFont="1" applyFill="1" applyBorder="1" applyAlignment="1">
      <alignment horizontal="center" vertical="center" wrapText="1"/>
    </xf>
    <xf numFmtId="170" fontId="72" fillId="30" borderId="20" xfId="0" applyNumberFormat="1" applyFont="1" applyFill="1" applyBorder="1" applyAlignment="1">
      <alignment horizontal="center" vertical="center" wrapText="1"/>
    </xf>
    <xf numFmtId="170" fontId="71" fillId="30" borderId="21" xfId="0" applyNumberFormat="1" applyFont="1" applyFill="1" applyBorder="1" applyAlignment="1">
      <alignment horizontal="center" vertical="center" wrapText="1"/>
    </xf>
    <xf numFmtId="170" fontId="4" fillId="30" borderId="22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center" vertical="center" wrapText="1"/>
    </xf>
    <xf numFmtId="170" fontId="5" fillId="30" borderId="20" xfId="0" quotePrefix="1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center" vertical="center"/>
    </xf>
    <xf numFmtId="170" fontId="4" fillId="29" borderId="3" xfId="0" applyNumberFormat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/>
    </xf>
    <xf numFmtId="170" fontId="73" fillId="30" borderId="3" xfId="0" applyNumberFormat="1" applyFont="1" applyFill="1" applyBorder="1" applyAlignment="1">
      <alignment horizontal="center" vertical="center" wrapText="1"/>
    </xf>
    <xf numFmtId="170" fontId="79" fillId="0" borderId="3" xfId="0" applyNumberFormat="1" applyFont="1" applyFill="1" applyBorder="1" applyAlignment="1">
      <alignment vertical="center"/>
    </xf>
    <xf numFmtId="170" fontId="79" fillId="0" borderId="3" xfId="0" applyNumberFormat="1" applyFont="1" applyFill="1" applyBorder="1" applyAlignment="1">
      <alignment vertical="center" wrapText="1"/>
    </xf>
    <xf numFmtId="170" fontId="80" fillId="29" borderId="3" xfId="0" applyNumberFormat="1" applyFont="1" applyFill="1" applyBorder="1" applyAlignment="1">
      <alignment horizontal="center" vertical="center" wrapText="1"/>
    </xf>
    <xf numFmtId="0" fontId="4" fillId="30" borderId="0" xfId="0" applyFont="1" applyFill="1" applyBorder="1" applyAlignment="1">
      <alignment horizontal="left" vertical="center" wrapText="1"/>
    </xf>
    <xf numFmtId="0" fontId="4" fillId="30" borderId="0" xfId="0" quotePrefix="1" applyFont="1" applyFill="1" applyBorder="1" applyAlignment="1">
      <alignment horizontal="center" vertical="center" wrapText="1"/>
    </xf>
    <xf numFmtId="170" fontId="4" fillId="30" borderId="0" xfId="0" applyNumberFormat="1" applyFont="1" applyFill="1" applyBorder="1" applyAlignment="1">
      <alignment horizontal="center" vertical="center" wrapText="1"/>
    </xf>
    <xf numFmtId="170" fontId="79" fillId="0" borderId="0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49" fontId="74" fillId="30" borderId="3" xfId="0" applyNumberFormat="1" applyFont="1" applyFill="1" applyBorder="1" applyAlignment="1">
      <alignment horizontal="left" vertical="center" wrapText="1"/>
    </xf>
    <xf numFmtId="0" fontId="74" fillId="30" borderId="3" xfId="0" applyFont="1" applyFill="1" applyBorder="1" applyAlignment="1">
      <alignment horizontal="center" vertical="center" wrapText="1"/>
    </xf>
    <xf numFmtId="169" fontId="74" fillId="30" borderId="3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170" fontId="9" fillId="0" borderId="0" xfId="0" applyNumberFormat="1" applyFont="1" applyFill="1" applyBorder="1" applyAlignment="1">
      <alignment vertical="center"/>
    </xf>
    <xf numFmtId="0" fontId="81" fillId="30" borderId="0" xfId="0" applyFont="1" applyFill="1" applyBorder="1" applyAlignment="1">
      <alignment vertical="center"/>
    </xf>
    <xf numFmtId="169" fontId="81" fillId="30" borderId="0" xfId="0" applyNumberFormat="1" applyFont="1" applyFill="1" applyBorder="1" applyAlignment="1">
      <alignment vertical="center"/>
    </xf>
    <xf numFmtId="0" fontId="6" fillId="30" borderId="0" xfId="0" applyFont="1" applyFill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center" vertical="center"/>
    </xf>
    <xf numFmtId="170" fontId="6" fillId="0" borderId="3" xfId="0" applyNumberFormat="1" applyFont="1" applyFill="1" applyBorder="1" applyAlignment="1">
      <alignment horizontal="center" vertical="center" wrapText="1"/>
    </xf>
    <xf numFmtId="169" fontId="73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30" borderId="0" xfId="0" applyFont="1" applyFill="1" applyAlignment="1">
      <alignment horizontal="center" vertical="center"/>
    </xf>
    <xf numFmtId="170" fontId="4" fillId="30" borderId="19" xfId="0" applyNumberFormat="1" applyFont="1" applyFill="1" applyBorder="1" applyAlignment="1">
      <alignment horizontal="center" vertical="center" wrapText="1"/>
    </xf>
    <xf numFmtId="0" fontId="5" fillId="30" borderId="0" xfId="248" applyFont="1" applyFill="1" applyBorder="1" applyAlignment="1">
      <alignment horizontal="center" vertical="center"/>
    </xf>
    <xf numFmtId="0" fontId="4" fillId="30" borderId="0" xfId="248" applyFont="1" applyFill="1" applyBorder="1" applyAlignment="1">
      <alignment horizontal="center" vertical="center" wrapText="1"/>
    </xf>
    <xf numFmtId="170" fontId="4" fillId="30" borderId="3" xfId="248" applyNumberFormat="1" applyFont="1" applyFill="1" applyBorder="1" applyAlignment="1">
      <alignment horizontal="center" vertical="center" wrapText="1"/>
    </xf>
    <xf numFmtId="170" fontId="5" fillId="30" borderId="0" xfId="248" applyNumberFormat="1" applyFont="1" applyFill="1" applyBorder="1" applyAlignment="1">
      <alignment horizontal="center" vertical="center" wrapText="1"/>
    </xf>
    <xf numFmtId="170" fontId="6" fillId="30" borderId="3" xfId="248" applyNumberFormat="1" applyFont="1" applyFill="1" applyBorder="1" applyAlignment="1">
      <alignment horizontal="center" vertical="center" wrapText="1"/>
    </xf>
    <xf numFmtId="170" fontId="73" fillId="29" borderId="0" xfId="248" applyNumberFormat="1" applyFont="1" applyFill="1" applyBorder="1" applyAlignment="1">
      <alignment vertical="center"/>
    </xf>
    <xf numFmtId="170" fontId="79" fillId="0" borderId="26" xfId="0" applyNumberFormat="1" applyFont="1" applyFill="1" applyBorder="1" applyAlignment="1">
      <alignment vertical="center" wrapText="1"/>
    </xf>
    <xf numFmtId="170" fontId="79" fillId="0" borderId="17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5" fillId="0" borderId="17" xfId="0" applyFont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30" borderId="19" xfId="0" applyFont="1" applyFill="1" applyBorder="1" applyAlignment="1">
      <alignment horizontal="center" vertical="center" wrapText="1"/>
    </xf>
    <xf numFmtId="0" fontId="75" fillId="3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 applyProtection="1">
      <alignment horizontal="center"/>
      <protection locked="0"/>
    </xf>
    <xf numFmtId="0" fontId="70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3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3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248" applyFont="1" applyFill="1" applyBorder="1" applyAlignment="1">
      <alignment horizontal="center" vertical="center"/>
    </xf>
    <xf numFmtId="0" fontId="7" fillId="0" borderId="3" xfId="24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3" xfId="248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3" fontId="5" fillId="30" borderId="20" xfId="0" applyNumberFormat="1" applyFont="1" applyFill="1" applyBorder="1" applyAlignment="1">
      <alignment horizontal="left" vertical="center" wrapText="1"/>
    </xf>
    <xf numFmtId="3" fontId="5" fillId="30" borderId="15" xfId="0" applyNumberFormat="1" applyFont="1" applyFill="1" applyBorder="1" applyAlignment="1">
      <alignment horizontal="left" vertical="center" wrapText="1"/>
    </xf>
    <xf numFmtId="0" fontId="5" fillId="30" borderId="21" xfId="0" applyFont="1" applyFill="1" applyBorder="1" applyAlignment="1">
      <alignment horizontal="center" vertical="center" wrapText="1"/>
    </xf>
    <xf numFmtId="0" fontId="5" fillId="30" borderId="23" xfId="0" applyFont="1" applyFill="1" applyBorder="1" applyAlignment="1">
      <alignment horizontal="center" vertical="center" wrapText="1"/>
    </xf>
    <xf numFmtId="0" fontId="0" fillId="30" borderId="18" xfId="0" applyFill="1" applyBorder="1" applyAlignment="1">
      <alignment horizontal="center" vertical="center" wrapText="1"/>
    </xf>
    <xf numFmtId="0" fontId="0" fillId="30" borderId="0" xfId="0" applyFill="1" applyBorder="1" applyAlignment="1">
      <alignment horizontal="center" vertical="center" wrapText="1"/>
    </xf>
    <xf numFmtId="0" fontId="0" fillId="30" borderId="22" xfId="0" applyFill="1" applyBorder="1" applyAlignment="1">
      <alignment horizontal="center" vertical="center" wrapText="1"/>
    </xf>
    <xf numFmtId="0" fontId="0" fillId="30" borderId="13" xfId="0" applyFill="1" applyBorder="1" applyAlignment="1">
      <alignment horizontal="center" vertical="center" wrapText="1"/>
    </xf>
    <xf numFmtId="0" fontId="5" fillId="30" borderId="20" xfId="0" applyFont="1" applyFill="1" applyBorder="1" applyAlignment="1">
      <alignment horizontal="center" vertical="center" wrapText="1"/>
    </xf>
    <xf numFmtId="0" fontId="5" fillId="30" borderId="15" xfId="0" applyFont="1" applyFill="1" applyBorder="1" applyAlignment="1">
      <alignment horizontal="center" vertical="center" wrapText="1"/>
    </xf>
    <xf numFmtId="49" fontId="5" fillId="30" borderId="20" xfId="0" applyNumberFormat="1" applyFont="1" applyFill="1" applyBorder="1" applyAlignment="1">
      <alignment horizontal="left" vertical="center" wrapText="1"/>
    </xf>
    <xf numFmtId="49" fontId="5" fillId="30" borderId="15" xfId="0" applyNumberFormat="1" applyFont="1" applyFill="1" applyBorder="1" applyAlignment="1">
      <alignment horizontal="left" vertical="center" wrapText="1"/>
    </xf>
    <xf numFmtId="169" fontId="5" fillId="0" borderId="13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30" borderId="20" xfId="0" applyFont="1" applyFill="1" applyBorder="1" applyAlignment="1">
      <alignment horizontal="center" vertical="center" wrapText="1" shrinkToFit="1"/>
    </xf>
    <xf numFmtId="0" fontId="9" fillId="30" borderId="15" xfId="0" applyFont="1" applyFill="1" applyBorder="1" applyAlignment="1">
      <alignment horizontal="center" vertical="center" wrapText="1" shrinkToFit="1"/>
    </xf>
    <xf numFmtId="0" fontId="5" fillId="30" borderId="20" xfId="0" applyFont="1" applyFill="1" applyBorder="1" applyAlignment="1">
      <alignment horizontal="left" vertical="center" wrapText="1"/>
    </xf>
    <xf numFmtId="0" fontId="5" fillId="30" borderId="1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9" fillId="30" borderId="20" xfId="0" applyFont="1" applyFill="1" applyBorder="1" applyAlignment="1">
      <alignment horizontal="left" vertical="center" wrapText="1" shrinkToFit="1"/>
    </xf>
    <xf numFmtId="0" fontId="9" fillId="30" borderId="15" xfId="0" applyFont="1" applyFill="1" applyBorder="1" applyAlignment="1">
      <alignment horizontal="left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30" borderId="20" xfId="0" applyFont="1" applyFill="1" applyBorder="1" applyAlignment="1">
      <alignment horizontal="left" vertical="center" wrapText="1" shrinkToFit="1"/>
    </xf>
    <xf numFmtId="0" fontId="5" fillId="30" borderId="15" xfId="0" applyFont="1" applyFill="1" applyBorder="1" applyAlignment="1">
      <alignment horizontal="left" vertical="center" wrapText="1" shrinkToFit="1"/>
    </xf>
    <xf numFmtId="0" fontId="5" fillId="30" borderId="20" xfId="0" applyFont="1" applyFill="1" applyBorder="1" applyAlignment="1">
      <alignment horizontal="center" vertical="center" wrapText="1" shrinkToFit="1"/>
    </xf>
    <xf numFmtId="0" fontId="5" fillId="30" borderId="15" xfId="0" applyFont="1" applyFill="1" applyBorder="1" applyAlignment="1">
      <alignment horizontal="center" vertical="center" wrapText="1" shrinkToFit="1"/>
    </xf>
    <xf numFmtId="0" fontId="5" fillId="30" borderId="18" xfId="0" applyFont="1" applyFill="1" applyBorder="1" applyAlignment="1">
      <alignment horizontal="center" vertical="center" wrapText="1"/>
    </xf>
    <xf numFmtId="0" fontId="5" fillId="30" borderId="0" xfId="0" applyFont="1" applyFill="1" applyBorder="1" applyAlignment="1">
      <alignment horizontal="center" vertical="center" wrapText="1"/>
    </xf>
    <xf numFmtId="0" fontId="5" fillId="30" borderId="22" xfId="0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9" fontId="5" fillId="0" borderId="20" xfId="0" applyNumberFormat="1" applyFont="1" applyFill="1" applyBorder="1" applyAlignment="1">
      <alignment horizontal="center" vertical="center" wrapText="1"/>
    </xf>
    <xf numFmtId="9" fontId="5" fillId="0" borderId="1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0" borderId="21" xfId="0" applyFont="1" applyFill="1" applyBorder="1" applyAlignment="1">
      <alignment horizontal="center" vertical="center" wrapText="1" shrinkToFit="1"/>
    </xf>
    <xf numFmtId="0" fontId="5" fillId="30" borderId="23" xfId="0" applyFont="1" applyFill="1" applyBorder="1" applyAlignment="1">
      <alignment horizontal="center" vertical="center" wrapText="1" shrinkToFit="1"/>
    </xf>
    <xf numFmtId="0" fontId="5" fillId="30" borderId="18" xfId="0" applyFont="1" applyFill="1" applyBorder="1" applyAlignment="1">
      <alignment horizontal="center" vertical="center" wrapText="1" shrinkToFit="1"/>
    </xf>
    <xf numFmtId="0" fontId="5" fillId="30" borderId="0" xfId="0" applyFont="1" applyFill="1" applyBorder="1" applyAlignment="1">
      <alignment horizontal="center" vertical="center" wrapText="1" shrinkToFit="1"/>
    </xf>
    <xf numFmtId="0" fontId="5" fillId="30" borderId="22" xfId="0" applyFont="1" applyFill="1" applyBorder="1" applyAlignment="1">
      <alignment horizontal="center" vertical="center" wrapText="1" shrinkToFit="1"/>
    </xf>
    <xf numFmtId="0" fontId="5" fillId="30" borderId="13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 wrapText="1"/>
    </xf>
    <xf numFmtId="170" fontId="79" fillId="0" borderId="19" xfId="0" applyNumberFormat="1" applyFont="1" applyFill="1" applyBorder="1" applyAlignment="1">
      <alignment horizontal="left" vertical="center" wrapText="1"/>
    </xf>
    <xf numFmtId="170" fontId="79" fillId="0" borderId="17" xfId="0" applyNumberFormat="1" applyFont="1" applyFill="1" applyBorder="1" applyAlignment="1">
      <alignment horizontal="left" vertical="center" wrapText="1"/>
    </xf>
    <xf numFmtId="170" fontId="79" fillId="0" borderId="26" xfId="0" applyNumberFormat="1" applyFont="1" applyFill="1" applyBorder="1" applyAlignment="1">
      <alignment horizontal="left" vertical="center" wrapText="1"/>
    </xf>
    <xf numFmtId="0" fontId="4" fillId="30" borderId="20" xfId="0" applyFont="1" applyFill="1" applyBorder="1" applyAlignment="1">
      <alignment horizontal="left" vertical="center" wrapText="1"/>
    </xf>
    <xf numFmtId="0" fontId="5" fillId="0" borderId="19" xfId="248" applyFont="1" applyFill="1" applyBorder="1" applyAlignment="1">
      <alignment horizontal="center" vertical="center" wrapText="1"/>
    </xf>
    <xf numFmtId="0" fontId="5" fillId="0" borderId="17" xfId="24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</cellXfs>
  <cellStyles count="357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" xfId="211" builtinId="4"/>
    <cellStyle name="Денежный 2" xfId="212"/>
    <cellStyle name="Денежный 3" xfId="213"/>
    <cellStyle name="Заголовок 1 2" xfId="214"/>
    <cellStyle name="Заголовок 1 3" xfId="215"/>
    <cellStyle name="Заголовок 2 2" xfId="216"/>
    <cellStyle name="Заголовок 2 3" xfId="217"/>
    <cellStyle name="Заголовок 3 2" xfId="218"/>
    <cellStyle name="Заголовок 3 3" xfId="219"/>
    <cellStyle name="Заголовок 4 2" xfId="220"/>
    <cellStyle name="Заголовок 4 3" xfId="221"/>
    <cellStyle name="Итог 2" xfId="222"/>
    <cellStyle name="Итог 3" xfId="223"/>
    <cellStyle name="Контрольная ячейка 2" xfId="224"/>
    <cellStyle name="Контрольная ячейка 3" xfId="225"/>
    <cellStyle name="Название 2" xfId="226"/>
    <cellStyle name="Название 3" xfId="227"/>
    <cellStyle name="Нейтральный 2" xfId="228"/>
    <cellStyle name="Нейтральный 3" xfId="229"/>
    <cellStyle name="Обычный" xfId="0" builtinId="0"/>
    <cellStyle name="Обычный 10" xfId="230"/>
    <cellStyle name="Обычный 11" xfId="231"/>
    <cellStyle name="Обычный 12" xfId="232"/>
    <cellStyle name="Обычный 13" xfId="233"/>
    <cellStyle name="Обычный 14" xfId="234"/>
    <cellStyle name="Обычный 15" xfId="235"/>
    <cellStyle name="Обычный 16" xfId="236"/>
    <cellStyle name="Обычный 17" xfId="237"/>
    <cellStyle name="Обычный 18" xfId="238"/>
    <cellStyle name="Обычный 19" xfId="239"/>
    <cellStyle name="Обычный 2" xfId="240"/>
    <cellStyle name="Обычный 2 10" xfId="241"/>
    <cellStyle name="Обычный 2 11" xfId="242"/>
    <cellStyle name="Обычный 2 12" xfId="243"/>
    <cellStyle name="Обычный 2 13" xfId="244"/>
    <cellStyle name="Обычный 2 14" xfId="245"/>
    <cellStyle name="Обычный 2 15" xfId="246"/>
    <cellStyle name="Обычный 2 16" xfId="247"/>
    <cellStyle name="Обычный 2 2" xfId="248"/>
    <cellStyle name="Обычный 2 2 2" xfId="249"/>
    <cellStyle name="Обычный 2 2 3" xfId="250"/>
    <cellStyle name="Обычный 2 2_Расшифровка прочих" xfId="251"/>
    <cellStyle name="Обычный 2 3" xfId="252"/>
    <cellStyle name="Обычный 2 4" xfId="253"/>
    <cellStyle name="Обычный 2 5" xfId="254"/>
    <cellStyle name="Обычный 2 6" xfId="255"/>
    <cellStyle name="Обычный 2 7" xfId="256"/>
    <cellStyle name="Обычный 2 8" xfId="257"/>
    <cellStyle name="Обычный 2 9" xfId="258"/>
    <cellStyle name="Обычный 2_2604-2010" xfId="259"/>
    <cellStyle name="Обычный 3" xfId="260"/>
    <cellStyle name="Обычный 3 10" xfId="261"/>
    <cellStyle name="Обычный 3 11" xfId="262"/>
    <cellStyle name="Обычный 3 12" xfId="263"/>
    <cellStyle name="Обычный 3 13" xfId="264"/>
    <cellStyle name="Обычный 3 14" xfId="265"/>
    <cellStyle name="Обычный 3 2" xfId="266"/>
    <cellStyle name="Обычный 3 3" xfId="267"/>
    <cellStyle name="Обычный 3 4" xfId="268"/>
    <cellStyle name="Обычный 3 5" xfId="269"/>
    <cellStyle name="Обычный 3 6" xfId="270"/>
    <cellStyle name="Обычный 3 7" xfId="271"/>
    <cellStyle name="Обычный 3 8" xfId="272"/>
    <cellStyle name="Обычный 3 9" xfId="273"/>
    <cellStyle name="Обычный 3_Дефицит_7 млрд_0608_бс" xfId="274"/>
    <cellStyle name="Обычный 4" xfId="275"/>
    <cellStyle name="Обычный 5" xfId="276"/>
    <cellStyle name="Обычный 5 2" xfId="277"/>
    <cellStyle name="Обычный 6" xfId="278"/>
    <cellStyle name="Обычный 6 2" xfId="279"/>
    <cellStyle name="Обычный 6 3" xfId="280"/>
    <cellStyle name="Обычный 6 4" xfId="281"/>
    <cellStyle name="Обычный 6_Дефицит_7 млрд_0608_бс" xfId="282"/>
    <cellStyle name="Обычный 7" xfId="283"/>
    <cellStyle name="Обычный 7 2" xfId="284"/>
    <cellStyle name="Обычный 8" xfId="285"/>
    <cellStyle name="Обычный 9" xfId="286"/>
    <cellStyle name="Обычный 9 2" xfId="287"/>
    <cellStyle name="Плохой 2" xfId="288"/>
    <cellStyle name="Плохой 3" xfId="289"/>
    <cellStyle name="Пояснение 2" xfId="290"/>
    <cellStyle name="Пояснение 3" xfId="291"/>
    <cellStyle name="Примечание 2" xfId="292"/>
    <cellStyle name="Примечание 3" xfId="293"/>
    <cellStyle name="Процентный" xfId="294" builtinId="5"/>
    <cellStyle name="Процентный 2" xfId="295"/>
    <cellStyle name="Процентный 2 10" xfId="296"/>
    <cellStyle name="Процентный 2 11" xfId="297"/>
    <cellStyle name="Процентный 2 12" xfId="298"/>
    <cellStyle name="Процентный 2 13" xfId="299"/>
    <cellStyle name="Процентный 2 14" xfId="300"/>
    <cellStyle name="Процентный 2 15" xfId="301"/>
    <cellStyle name="Процентный 2 16" xfId="302"/>
    <cellStyle name="Процентный 2 2" xfId="303"/>
    <cellStyle name="Процентный 2 3" xfId="304"/>
    <cellStyle name="Процентный 2 4" xfId="305"/>
    <cellStyle name="Процентный 2 5" xfId="306"/>
    <cellStyle name="Процентный 2 6" xfId="307"/>
    <cellStyle name="Процентный 2 7" xfId="308"/>
    <cellStyle name="Процентный 2 8" xfId="309"/>
    <cellStyle name="Процентный 2 9" xfId="310"/>
    <cellStyle name="Процентный 3" xfId="311"/>
    <cellStyle name="Процентный 4" xfId="312"/>
    <cellStyle name="Процентный 4 2" xfId="313"/>
    <cellStyle name="Связанная ячейка 2" xfId="314"/>
    <cellStyle name="Связанная ячейка 3" xfId="315"/>
    <cellStyle name="Стиль 1" xfId="316"/>
    <cellStyle name="Стиль 1 2" xfId="317"/>
    <cellStyle name="Стиль 1 3" xfId="318"/>
    <cellStyle name="Стиль 1 4" xfId="319"/>
    <cellStyle name="Стиль 1 5" xfId="320"/>
    <cellStyle name="Стиль 1 6" xfId="321"/>
    <cellStyle name="Стиль 1 7" xfId="322"/>
    <cellStyle name="Текст предупреждения 2" xfId="323"/>
    <cellStyle name="Текст предупреждения 3" xfId="324"/>
    <cellStyle name="Тысячи [0]_1.62" xfId="325"/>
    <cellStyle name="Тысячи_1.62" xfId="326"/>
    <cellStyle name="Финансовый 2" xfId="327"/>
    <cellStyle name="Финансовый 2 10" xfId="328"/>
    <cellStyle name="Финансовый 2 11" xfId="329"/>
    <cellStyle name="Финансовый 2 12" xfId="330"/>
    <cellStyle name="Финансовый 2 13" xfId="331"/>
    <cellStyle name="Финансовый 2 14" xfId="332"/>
    <cellStyle name="Финансовый 2 15" xfId="333"/>
    <cellStyle name="Финансовый 2 16" xfId="334"/>
    <cellStyle name="Финансовый 2 17" xfId="335"/>
    <cellStyle name="Финансовый 2 2" xfId="336"/>
    <cellStyle name="Финансовый 2 3" xfId="337"/>
    <cellStyle name="Финансовый 2 4" xfId="338"/>
    <cellStyle name="Финансовый 2 5" xfId="339"/>
    <cellStyle name="Финансовый 2 6" xfId="340"/>
    <cellStyle name="Финансовый 2 7" xfId="341"/>
    <cellStyle name="Финансовый 2 8" xfId="342"/>
    <cellStyle name="Финансовый 2 9" xfId="343"/>
    <cellStyle name="Финансовый 3" xfId="344"/>
    <cellStyle name="Финансовый 3 2" xfId="345"/>
    <cellStyle name="Финансовый 4" xfId="346"/>
    <cellStyle name="Финансовый 4 2" xfId="347"/>
    <cellStyle name="Финансовый 4 3" xfId="348"/>
    <cellStyle name="Финансовый 5" xfId="349"/>
    <cellStyle name="Финансовый 6" xfId="350"/>
    <cellStyle name="Финансовый 7" xfId="351"/>
    <cellStyle name="Хороший 2" xfId="352"/>
    <cellStyle name="Хороший 3" xfId="353"/>
    <cellStyle name="числовой" xfId="354"/>
    <cellStyle name="Ю" xfId="355"/>
    <cellStyle name="Ю-FreeSet_10" xfId="3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61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5/&#1060;&#1110;&#1085;&#1072;&#1085;&#1089;&#1086;&#1074;&#1080;&#1081;%20&#1087;&#1083;&#1072;&#1085;%202015/&#1092;&#1072;&#1082;&#1090;%20&#1060;&#1055;%202015/&#1042;&#1080;&#1082;&#1086;&#1085;&#1072;&#1085;&#1085;&#1103;%20&#1060;&#1055;%20&#1079;&#1072;%202015%20&#1088;&#1110;&#1082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6/&#1060;&#1110;&#1085;&#1072;&#1085;&#1089;&#1086;&#1074;&#1080;&#1081;%20&#1087;&#1083;&#1072;&#1085;%202016/&#1079;&#1074;&#1110;&#1090;%20&#1087;&#1088;&#1086;%20&#1074;&#1080;&#1082;&#1086;&#1085;&#1072;&#1085;&#1085;&#1103;%20&#1092;&#1110;&#1085;&#1072;&#1085;&#1089;&#1086;&#1074;&#1086;&#1075;&#1086;%20&#1087;&#1083;&#1072;&#1085;&#1091;%202016%20&#1088;&#1110;&#108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7/&#1060;&#1110;&#1085;&#1072;&#1085;&#1089;&#1086;&#1074;&#1080;&#1081;%20&#1087;&#1083;&#1072;&#1085;%202017/&#1079;&#1074;&#1110;&#1090;%20&#1087;&#1088;&#1086;%20&#1074;&#1080;&#1082;&#1086;&#1085;&#1072;&#1085;&#1085;&#1103;%20&#1092;&#1110;&#1085;&#1072;&#1085;&#1089;&#1086;&#1074;&#1086;&#1075;&#1086;%20&#1087;&#1083;&#1072;&#1085;&#1091;%20201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8/&#1060;&#1055;%20&#1082;&#1074;&#1110;&#1090;&#1077;&#1085;&#1100;%20&#1079;&#1072;&#1090;&#1074;&#1077;&#1088;&#1076;&#1078;&#1077;&#1085;&#1080;&#1081;/&#1079;&#1074;&#1110;&#1090;%20&#1087;&#1088;&#1086;%20&#1074;&#1080;&#1082;&#1086;&#1085;&#1072;&#1085;&#1085;&#1103;%20&#1092;&#1110;&#1085;&#1072;&#1085;&#1089;&#1086;&#1074;&#1086;&#1075;&#1086;%20&#1087;&#1083;&#1072;&#1085;&#1091;%202018%20&#1088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9/&#1060;&#1110;&#1085;&#1072;&#1085;&#1089;&#1086;&#1074;&#1080;&#1081;%20&#1087;&#1083;&#1072;&#1085;/&#1060;&#1055;%20&#1050;&#1055;%20&#1052;&#1110;&#1089;&#1100;&#1082;&#1089;&#1074;&#1110;&#1090;&#1083;&#1086;%20%20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9/&#1060;&#1110;&#1085;&#1072;&#1085;&#1089;&#1086;&#1074;&#1080;&#1081;%20&#1087;&#1083;&#1072;&#1085;/&#1079;&#1074;&#1110;&#1090;%20&#1087;&#1088;&#1086;%20&#1074;&#1080;&#1082;&#1086;&#1085;&#1072;&#1085;&#1085;&#1103;%20&#1092;&#1110;&#1085;&#1072;&#1085;&#1089;&#1086;&#1074;&#1086;&#1075;&#1086;%20&#1087;&#1083;&#1072;&#1085;&#1091;%202019%20%20&#1088;&#1110;&#1082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%20%20&#1088;&#1086;&#1079;&#1088;&#1072;&#1093;&#1091;&#1085;&#1082;&#108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8/&#1060;&#1055;%20&#1082;&#1074;&#1110;&#1090;&#1077;&#1085;&#1100;%20&#1079;&#1072;&#1090;&#1074;&#1077;&#1088;&#1076;&#1078;&#1077;&#1085;&#1080;&#1081;/&#1079;&#1074;&#1110;&#1090;%20&#1087;&#1088;&#1086;%20&#1074;&#1080;&#1082;&#1086;&#1085;&#1072;&#1085;&#1085;&#1103;%20&#1092;&#1110;&#1085;&#1072;&#1085;&#1089;&#1086;&#1074;&#1086;&#1075;&#1086;%20&#1087;&#1083;&#1072;&#1085;&#1091;%202018%201%20&#1087;&#1110;&#1074;&#1088;&#1110;&#1095;&#1095;&#1103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8/&#1060;&#1055;%20&#1082;&#1074;&#1110;&#1090;&#1077;&#1085;&#1100;%20&#1079;&#1072;&#1090;&#1074;&#1077;&#1088;&#1076;&#1078;&#1077;&#1085;&#1080;&#1081;/&#1060;&#1055;%20&#1050;&#1055;%20&#1052;&#1110;&#1089;&#1100;&#1082;&#1089;&#1074;&#1110;&#1090;&#1083;&#1086;%20%202018%20&#1082;&#1074;&#1110;&#1090;&#1077;&#1085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7/&#1060;&#1110;&#1085;&#1072;&#1085;&#1089;&#1086;&#1074;&#1080;&#1081;%20&#1087;&#1083;&#1072;&#1085;%202017/&#1079;&#1074;&#1110;&#1090;%20&#1087;&#1088;&#1086;%20&#1074;&#1080;&#1082;&#1086;&#1085;&#1072;&#1085;&#1085;&#1103;%20&#1092;&#1110;&#1085;&#1072;&#1085;&#1089;&#1086;&#1074;&#1086;&#1075;&#1086;%20&#1087;&#1083;&#1072;&#1085;&#1091;%202017%209%20&#1084;&#1110;&#1089;&#1103;&#1094;&#1110;&#1074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7/&#1060;&#1110;&#1085;&#1072;&#1085;&#1089;&#1086;&#1074;&#1080;&#1081;%20&#1087;&#1083;&#1072;&#1085;%202017/&#1053;&#1072;%20&#1079;&#1072;&#1090;&#1074;&#1077;&#1088;&#1076;&#1078;&#1077;&#1085;&#1085;&#1103;%20&#1085;&#1072;%202017%20&#1088;&#1110;&#1082;%20-&#1087;&#1072;&#1088;&#1072;&#1084;&#1077;&#1090;&#1088;&#1080;&#1079;&#1072;&#1094;&#1110;&#1103;/&#1050;&#1055;%20&#1052;&#1110;&#1089;&#1100;&#1082;&#1089;&#1074;&#1110;&#1090;&#1083;&#1086;%20&#1060;&#1055;%20%202017%20%20&#1077;&#1083;&#1077;&#1082;&#1090;&#1088;&#1086;&#1077;&#1085;&#1077;&#1088;&#1075;&#1110;&#1103;%203%20&#1082;&#1074;&#1072;&#1088;&#1090;&#1072;&#1083;%20&#1079;%20&#1087;&#1086;&#1084;&#1080;&#1083;&#1082;%201%20&#1083;&#1080;&#1089;&#109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8/&#1060;&#1055;%2013.11.17%20&#1079;&#1072;&#1090;&#1074;&#1077;&#1088;&#1076;&#1078;&#1077;&#1085;&#1080;&#1081;/&#1060;&#1055;%20&#1050;&#1055;%20&#1052;&#1110;&#1089;&#1100;&#1082;&#1089;&#1074;&#1110;&#1090;&#1083;&#1086;%20%20201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15/&#1060;&#1110;&#1085;&#1072;&#1085;&#1089;&#1086;&#1074;&#1080;&#1081;%20&#1087;&#1083;&#1072;&#1085;%202015/&#1092;&#1072;&#1082;&#1090;%20&#1060;&#1055;%202015/&#1092;&#1072;&#1082;&#1090;%20&#1092;&#1110;&#1085;&#1072;&#1085;&#1089;&#1086;&#1074;&#1080;&#1081;%20&#1087;&#1083;&#1072;&#1085;%202015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102;&#1076;&#1078;&#1077;&#1090;%202017%20&#1088;&#1086;&#1079;&#1088;&#1072;&#1093;&#1091;&#1085;&#1082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%20&#1090;&#1072;%20&#1087;&#1086;%20&#1058;&#1077;&#1088;&#1080;&#1090;&#1086;&#1088;&#1110;&#1072;&#1083;&#1100;&#1085;&#1110;&#1081;%20&#1091;&#1075;&#1086;&#1076;&#1110;%20&#1085;&#1072;%20&#1079;&#1084;&#1110;&#1085;&#1080;%20&#1092;&#1110;&#1085;&#1087;&#1083;&#1072;&#1085;&#1091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3;&#1086;&#1074;&#1072;&#1103;%20&#1087;&#1072;&#1087;&#1082;&#1072;/2020/&#1079;%20&#1090;&#1072;%20&#1087;&#1086;%20&#1058;&#1077;&#1088;&#1080;&#1090;&#1086;&#1088;&#1110;&#1072;&#1083;&#1100;&#1085;&#1110;&#1081;%20&#1091;&#1075;&#1086;&#1076;&#1110;%20&#1085;&#1072;%20&#1079;&#1084;&#1110;&#1085;&#1080;%20&#1092;&#1110;&#1085;&#1087;&#1083;&#1072;&#1085;&#109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5"/>
      <sheetName val="Рух грошових коштів факт"/>
    </sheetNames>
    <sheetDataSet>
      <sheetData sheetId="0">
        <row r="12">
          <cell r="V12">
            <v>1384.4999999999995</v>
          </cell>
        </row>
        <row r="13">
          <cell r="V13">
            <v>2807.4</v>
          </cell>
        </row>
        <row r="15">
          <cell r="V15">
            <v>698.6</v>
          </cell>
        </row>
        <row r="20">
          <cell r="V20">
            <v>407.8</v>
          </cell>
        </row>
        <row r="22">
          <cell r="V22">
            <v>46</v>
          </cell>
        </row>
        <row r="23">
          <cell r="V23">
            <v>699.3</v>
          </cell>
        </row>
        <row r="28">
          <cell r="V28">
            <v>11.500000000000009</v>
          </cell>
        </row>
        <row r="29">
          <cell r="V29">
            <v>45.1</v>
          </cell>
        </row>
        <row r="30">
          <cell r="V30">
            <v>2404.9</v>
          </cell>
        </row>
        <row r="31">
          <cell r="V31">
            <v>329</v>
          </cell>
        </row>
        <row r="32">
          <cell r="V32">
            <v>120</v>
          </cell>
        </row>
        <row r="33">
          <cell r="V33">
            <v>768.7</v>
          </cell>
        </row>
        <row r="38">
          <cell r="V38">
            <v>9.4</v>
          </cell>
        </row>
        <row r="39">
          <cell r="V39">
            <v>0</v>
          </cell>
        </row>
        <row r="42">
          <cell r="V42">
            <v>4.3000000000000007</v>
          </cell>
        </row>
        <row r="46">
          <cell r="V46">
            <v>0.5</v>
          </cell>
        </row>
        <row r="55">
          <cell r="V55">
            <v>4.5000000000000009</v>
          </cell>
        </row>
        <row r="56">
          <cell r="V56">
            <v>575</v>
          </cell>
        </row>
        <row r="57">
          <cell r="V57">
            <v>160.9</v>
          </cell>
        </row>
        <row r="58">
          <cell r="V58">
            <v>8.9000000000000021</v>
          </cell>
        </row>
        <row r="59">
          <cell r="V59">
            <v>0</v>
          </cell>
        </row>
        <row r="60">
          <cell r="V60">
            <v>0.4</v>
          </cell>
        </row>
        <row r="61">
          <cell r="V61">
            <v>0</v>
          </cell>
        </row>
        <row r="62">
          <cell r="V62">
            <v>5.0000000000000009</v>
          </cell>
        </row>
        <row r="65">
          <cell r="V65">
            <v>1.6</v>
          </cell>
        </row>
        <row r="66">
          <cell r="V66">
            <v>0</v>
          </cell>
        </row>
        <row r="67">
          <cell r="V67">
            <v>0</v>
          </cell>
        </row>
        <row r="68">
          <cell r="V68">
            <v>0</v>
          </cell>
        </row>
        <row r="69">
          <cell r="V69">
            <v>0</v>
          </cell>
        </row>
        <row r="71">
          <cell r="V71">
            <v>0</v>
          </cell>
        </row>
        <row r="72">
          <cell r="V72">
            <v>9.6999999999999993</v>
          </cell>
        </row>
        <row r="73">
          <cell r="V73">
            <v>8.3000000000000007</v>
          </cell>
        </row>
        <row r="74">
          <cell r="V74">
            <v>1</v>
          </cell>
        </row>
        <row r="75">
          <cell r="V75">
            <v>0.5</v>
          </cell>
        </row>
        <row r="80">
          <cell r="V80">
            <v>5.9</v>
          </cell>
        </row>
      </sheetData>
      <sheetData sheetId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4. Кап. інвестиції"/>
      <sheetName val="5. Інша інформація"/>
      <sheetName val=" 6. Коефіцієнти"/>
      <sheetName val="3. Рух грошових коштів"/>
    </sheetNames>
    <sheetDataSet>
      <sheetData sheetId="0"/>
      <sheetData sheetId="1">
        <row r="11">
          <cell r="D11">
            <v>1568.6</v>
          </cell>
        </row>
        <row r="12">
          <cell r="D12">
            <v>0</v>
          </cell>
        </row>
        <row r="13">
          <cell r="D13">
            <v>6064.1</v>
          </cell>
        </row>
        <row r="14">
          <cell r="D14">
            <v>1338.7</v>
          </cell>
        </row>
        <row r="15">
          <cell r="D15">
            <v>0</v>
          </cell>
        </row>
        <row r="18">
          <cell r="D18">
            <v>26.9</v>
          </cell>
        </row>
        <row r="19">
          <cell r="D19">
            <v>22.600000000000005</v>
          </cell>
        </row>
        <row r="20">
          <cell r="D20">
            <v>4748</v>
          </cell>
        </row>
        <row r="21">
          <cell r="D21">
            <v>486.09999999999997</v>
          </cell>
        </row>
        <row r="22">
          <cell r="D22">
            <v>107.90000000000002</v>
          </cell>
        </row>
        <row r="23">
          <cell r="D23">
            <v>772.2</v>
          </cell>
        </row>
        <row r="24">
          <cell r="D24">
            <v>2063.6000000000004</v>
          </cell>
        </row>
        <row r="30">
          <cell r="D30">
            <v>21.5</v>
          </cell>
        </row>
        <row r="31">
          <cell r="D31">
            <v>0</v>
          </cell>
        </row>
        <row r="38">
          <cell r="D38">
            <v>1296.5999999999999</v>
          </cell>
        </row>
        <row r="39">
          <cell r="D39">
            <v>314.5</v>
          </cell>
        </row>
        <row r="40">
          <cell r="D40">
            <v>0.8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3.4999999999999996</v>
          </cell>
        </row>
        <row r="49">
          <cell r="D49">
            <v>730.4</v>
          </cell>
        </row>
        <row r="50">
          <cell r="D50">
            <v>129.30000000000001</v>
          </cell>
        </row>
        <row r="51">
          <cell r="D51">
            <v>10.900000000000002</v>
          </cell>
        </row>
        <row r="52">
          <cell r="D52">
            <v>0</v>
          </cell>
        </row>
        <row r="53">
          <cell r="D53">
            <v>4.2</v>
          </cell>
        </row>
        <row r="54">
          <cell r="D54">
            <v>0</v>
          </cell>
        </row>
        <row r="55">
          <cell r="D55">
            <v>8.6</v>
          </cell>
        </row>
        <row r="56">
          <cell r="D56">
            <v>14.5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4">
          <cell r="D64">
            <v>0.1</v>
          </cell>
        </row>
        <row r="65">
          <cell r="D65">
            <v>14.299999999999999</v>
          </cell>
        </row>
        <row r="66">
          <cell r="D66">
            <v>9.4</v>
          </cell>
        </row>
        <row r="67">
          <cell r="D67">
            <v>0.1</v>
          </cell>
        </row>
        <row r="68">
          <cell r="D68">
            <v>40.799999999999997</v>
          </cell>
        </row>
        <row r="69">
          <cell r="D69">
            <v>0</v>
          </cell>
        </row>
        <row r="70">
          <cell r="D70">
            <v>6.5000000000000009</v>
          </cell>
        </row>
        <row r="71">
          <cell r="D71">
            <v>1.1000000000000001</v>
          </cell>
        </row>
        <row r="72">
          <cell r="D72">
            <v>1.2000000000000002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8">
          <cell r="D88">
            <v>340.40000000000003</v>
          </cell>
        </row>
        <row r="89">
          <cell r="D89">
            <v>0</v>
          </cell>
        </row>
        <row r="91">
          <cell r="D91">
            <v>584.90000000000009</v>
          </cell>
        </row>
        <row r="92">
          <cell r="D92">
            <v>28.1</v>
          </cell>
        </row>
        <row r="94">
          <cell r="D94">
            <v>6.1</v>
          </cell>
        </row>
        <row r="95">
          <cell r="D95">
            <v>125.19999999999999</v>
          </cell>
        </row>
        <row r="97">
          <cell r="D97">
            <v>4.4000000000000004</v>
          </cell>
        </row>
        <row r="98">
          <cell r="D98">
            <v>0</v>
          </cell>
        </row>
      </sheetData>
      <sheetData sheetId="2">
        <row r="10">
          <cell r="D10">
            <v>-1400.4</v>
          </cell>
        </row>
        <row r="18">
          <cell r="D18">
            <v>-2180.6999999999994</v>
          </cell>
        </row>
        <row r="21">
          <cell r="D21">
            <v>4.4000000000000004</v>
          </cell>
        </row>
        <row r="22">
          <cell r="D22">
            <v>1338.7</v>
          </cell>
        </row>
        <row r="23">
          <cell r="D23">
            <v>4069.1</v>
          </cell>
        </row>
        <row r="24">
          <cell r="D24">
            <v>276.5</v>
          </cell>
        </row>
        <row r="28">
          <cell r="D28">
            <v>227.6</v>
          </cell>
        </row>
        <row r="31">
          <cell r="D31">
            <v>6.1</v>
          </cell>
        </row>
        <row r="34">
          <cell r="D34">
            <v>19.100000000000001</v>
          </cell>
        </row>
        <row r="35">
          <cell r="D35">
            <v>14.299999999999999</v>
          </cell>
        </row>
        <row r="36">
          <cell r="D36">
            <v>9.4</v>
          </cell>
        </row>
        <row r="37">
          <cell r="D37">
            <v>237.20000000000005</v>
          </cell>
        </row>
        <row r="38">
          <cell r="D38">
            <v>513.70000000000005</v>
          </cell>
        </row>
      </sheetData>
      <sheetData sheetId="3">
        <row r="9">
          <cell r="D9">
            <v>17754.599999999999</v>
          </cell>
        </row>
        <row r="10">
          <cell r="D10">
            <v>1983.1</v>
          </cell>
        </row>
        <row r="12">
          <cell r="D12">
            <v>880.1</v>
          </cell>
        </row>
        <row r="14">
          <cell r="D14">
            <v>14891.4</v>
          </cell>
        </row>
      </sheetData>
      <sheetData sheetId="4">
        <row r="14">
          <cell r="C14">
            <v>16</v>
          </cell>
        </row>
        <row r="15">
          <cell r="C15">
            <v>4</v>
          </cell>
        </row>
        <row r="16">
          <cell r="C16">
            <v>1</v>
          </cell>
        </row>
        <row r="17">
          <cell r="C17">
            <v>2</v>
          </cell>
        </row>
        <row r="19">
          <cell r="C19">
            <v>9</v>
          </cell>
        </row>
        <row r="21">
          <cell r="C21">
            <v>1216.5</v>
          </cell>
        </row>
        <row r="22">
          <cell r="C22">
            <v>138</v>
          </cell>
        </row>
        <row r="23">
          <cell r="C23">
            <v>592.4</v>
          </cell>
        </row>
        <row r="24">
          <cell r="C24">
            <v>486.09999999999997</v>
          </cell>
        </row>
        <row r="25">
          <cell r="C25">
            <v>1223.6999999999998</v>
          </cell>
        </row>
        <row r="26">
          <cell r="C26">
            <v>138</v>
          </cell>
        </row>
        <row r="27">
          <cell r="C27">
            <v>594.1</v>
          </cell>
        </row>
        <row r="28">
          <cell r="C28">
            <v>491.59999999999991</v>
          </cell>
        </row>
        <row r="29">
          <cell r="C29">
            <v>6336</v>
          </cell>
        </row>
        <row r="30">
          <cell r="C30">
            <v>11500</v>
          </cell>
        </row>
        <row r="31">
          <cell r="C31">
            <v>8228</v>
          </cell>
        </row>
        <row r="32">
          <cell r="C32">
            <v>4501</v>
          </cell>
        </row>
        <row r="33">
          <cell r="C33">
            <v>6373</v>
          </cell>
        </row>
        <row r="34">
          <cell r="C34">
            <v>11500</v>
          </cell>
        </row>
        <row r="35">
          <cell r="C35">
            <v>8251</v>
          </cell>
        </row>
        <row r="36">
          <cell r="C36">
            <v>4552</v>
          </cell>
        </row>
      </sheetData>
      <sheetData sheetId="5">
        <row r="10">
          <cell r="E10">
            <v>-0.35510009532888459</v>
          </cell>
        </row>
      </sheetData>
      <sheetData sheetId="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4. Кап. інвестиції"/>
      <sheetName val="5. Інша інформація"/>
      <sheetName val=" 6. Коефіцієнти"/>
      <sheetName val="3. Рух грошових коштів"/>
    </sheetNames>
    <sheetDataSet>
      <sheetData sheetId="0"/>
      <sheetData sheetId="1">
        <row r="11">
          <cell r="D11">
            <v>960.5</v>
          </cell>
        </row>
        <row r="13">
          <cell r="D13">
            <v>9761.9</v>
          </cell>
        </row>
        <row r="14">
          <cell r="D14">
            <v>1914.7</v>
          </cell>
        </row>
        <row r="18">
          <cell r="D18">
            <v>25.799999999999997</v>
          </cell>
        </row>
        <row r="19">
          <cell r="D19">
            <v>47.8</v>
          </cell>
        </row>
        <row r="20">
          <cell r="D20">
            <v>8149.2000000000007</v>
          </cell>
        </row>
        <row r="21">
          <cell r="D21">
            <v>634.1</v>
          </cell>
        </row>
        <row r="22">
          <cell r="D22">
            <v>140</v>
          </cell>
        </row>
        <row r="23">
          <cell r="D23">
            <v>113.6</v>
          </cell>
        </row>
        <row r="26">
          <cell r="D26">
            <v>123.8</v>
          </cell>
        </row>
        <row r="28">
          <cell r="D28">
            <v>1.4</v>
          </cell>
        </row>
        <row r="29">
          <cell r="D29">
            <v>1.5</v>
          </cell>
        </row>
        <row r="30">
          <cell r="D30">
            <v>23.1</v>
          </cell>
        </row>
        <row r="32">
          <cell r="D32">
            <v>0.4</v>
          </cell>
        </row>
        <row r="33">
          <cell r="D33">
            <v>1.9</v>
          </cell>
        </row>
        <row r="34">
          <cell r="D34">
            <v>2.6</v>
          </cell>
        </row>
        <row r="35">
          <cell r="D35">
            <v>8.5</v>
          </cell>
        </row>
        <row r="38">
          <cell r="D38">
            <v>2240.3000000000002</v>
          </cell>
        </row>
        <row r="39">
          <cell r="D39">
            <v>342.7</v>
          </cell>
        </row>
        <row r="40">
          <cell r="D40">
            <v>0.8</v>
          </cell>
        </row>
        <row r="48">
          <cell r="D48">
            <v>3.6</v>
          </cell>
        </row>
        <row r="49">
          <cell r="D49">
            <v>932</v>
          </cell>
        </row>
        <row r="50">
          <cell r="D50">
            <v>168.9</v>
          </cell>
        </row>
        <row r="51">
          <cell r="D51">
            <v>4.5999999999999996</v>
          </cell>
        </row>
        <row r="53">
          <cell r="D53">
            <v>5.4</v>
          </cell>
        </row>
        <row r="55">
          <cell r="D55">
            <v>6.1000000000000005</v>
          </cell>
        </row>
        <row r="56">
          <cell r="D56">
            <v>4.4000000000000004</v>
          </cell>
        </row>
        <row r="57">
          <cell r="D57">
            <v>1.2</v>
          </cell>
        </row>
        <row r="59">
          <cell r="D59">
            <v>3.2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5">
          <cell r="D65">
            <v>15.499999999999998</v>
          </cell>
        </row>
        <row r="66">
          <cell r="D66">
            <v>10.9</v>
          </cell>
        </row>
        <row r="67">
          <cell r="D67">
            <v>0.1</v>
          </cell>
        </row>
        <row r="68">
          <cell r="D68">
            <v>27.5</v>
          </cell>
        </row>
        <row r="70">
          <cell r="D70">
            <v>6.6</v>
          </cell>
        </row>
        <row r="71">
          <cell r="D71">
            <v>0.9</v>
          </cell>
        </row>
        <row r="72">
          <cell r="D72">
            <v>0.2</v>
          </cell>
        </row>
        <row r="82">
          <cell r="D82">
            <v>10.8</v>
          </cell>
        </row>
        <row r="90">
          <cell r="D90">
            <v>283</v>
          </cell>
        </row>
        <row r="94">
          <cell r="D94">
            <v>477.2</v>
          </cell>
        </row>
        <row r="95">
          <cell r="D95">
            <v>178.5</v>
          </cell>
        </row>
        <row r="99">
          <cell r="D99">
            <v>15.5</v>
          </cell>
        </row>
        <row r="100">
          <cell r="D100">
            <v>106.6</v>
          </cell>
        </row>
        <row r="102">
          <cell r="D102">
            <v>6</v>
          </cell>
        </row>
        <row r="103">
          <cell r="D103">
            <v>278.10000000000002</v>
          </cell>
        </row>
      </sheetData>
      <sheetData sheetId="2">
        <row r="10">
          <cell r="D10">
            <v>-2180.6999999999998</v>
          </cell>
        </row>
        <row r="22">
          <cell r="D22">
            <v>1914.7</v>
          </cell>
        </row>
        <row r="23">
          <cell r="D23">
            <v>2703.6000000000004</v>
          </cell>
        </row>
        <row r="28">
          <cell r="D28">
            <v>307.7</v>
          </cell>
        </row>
        <row r="31">
          <cell r="D31">
            <v>6</v>
          </cell>
        </row>
        <row r="34">
          <cell r="D34">
            <v>25.6</v>
          </cell>
        </row>
        <row r="35">
          <cell r="D35">
            <v>15.499999999999998</v>
          </cell>
        </row>
        <row r="36">
          <cell r="D36">
            <v>10.9</v>
          </cell>
        </row>
        <row r="37">
          <cell r="D37">
            <v>333.8</v>
          </cell>
        </row>
      </sheetData>
      <sheetData sheetId="3">
        <row r="10">
          <cell r="D10">
            <v>934.4</v>
          </cell>
        </row>
        <row r="13">
          <cell r="D13">
            <v>857.8</v>
          </cell>
        </row>
        <row r="14">
          <cell r="D14">
            <v>9150.7999999999993</v>
          </cell>
        </row>
      </sheetData>
      <sheetData sheetId="4">
        <row r="22">
          <cell r="C22">
            <v>176.7</v>
          </cell>
        </row>
        <row r="26">
          <cell r="C26">
            <v>186.39999999999998</v>
          </cell>
        </row>
      </sheetData>
      <sheetData sheetId="5"/>
      <sheetData sheetId="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4. Кап. інвестиції"/>
      <sheetName val="5. Інша інформація"/>
      <sheetName val=" 6. Коефіцієнти"/>
      <sheetName val="3. Рух грошових коштів"/>
    </sheetNames>
    <sheetDataSet>
      <sheetData sheetId="0"/>
      <sheetData sheetId="1">
        <row r="11">
          <cell r="D11">
            <v>1212.5</v>
          </cell>
        </row>
        <row r="14">
          <cell r="D14">
            <v>10085.6</v>
          </cell>
        </row>
        <row r="16">
          <cell r="D16">
            <v>2646.9</v>
          </cell>
        </row>
        <row r="20">
          <cell r="D20">
            <v>19.899999999999999</v>
          </cell>
        </row>
        <row r="21">
          <cell r="D21">
            <v>50.1</v>
          </cell>
        </row>
        <row r="22">
          <cell r="D22">
            <v>8426.9000000000015</v>
          </cell>
        </row>
        <row r="23">
          <cell r="D23">
            <v>397.5</v>
          </cell>
        </row>
        <row r="24">
          <cell r="D24">
            <v>87.3</v>
          </cell>
        </row>
        <row r="25">
          <cell r="D25">
            <v>27.9</v>
          </cell>
        </row>
        <row r="26">
          <cell r="D26">
            <v>156.9</v>
          </cell>
        </row>
        <row r="28">
          <cell r="D28">
            <v>31.299999999999997</v>
          </cell>
        </row>
        <row r="29">
          <cell r="D29">
            <v>3403.1</v>
          </cell>
        </row>
        <row r="32">
          <cell r="D32">
            <v>2666.3999999999996</v>
          </cell>
        </row>
        <row r="33">
          <cell r="D33">
            <v>276.5</v>
          </cell>
        </row>
        <row r="34">
          <cell r="D34">
            <v>3.7</v>
          </cell>
        </row>
        <row r="42">
          <cell r="D42">
            <v>2.4000000000000004</v>
          </cell>
        </row>
        <row r="43">
          <cell r="D43">
            <v>1595</v>
          </cell>
        </row>
        <row r="44">
          <cell r="D44">
            <v>286.39999999999998</v>
          </cell>
        </row>
        <row r="45">
          <cell r="D45">
            <v>8.4</v>
          </cell>
        </row>
        <row r="47">
          <cell r="D47">
            <v>6.4</v>
          </cell>
        </row>
        <row r="49">
          <cell r="D49">
            <v>12.1</v>
          </cell>
        </row>
        <row r="50">
          <cell r="D50">
            <v>10.1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0</v>
          </cell>
        </row>
        <row r="58">
          <cell r="D58">
            <v>0.1</v>
          </cell>
        </row>
        <row r="59">
          <cell r="D59">
            <v>15.2</v>
          </cell>
        </row>
        <row r="60">
          <cell r="D60">
            <v>12.7</v>
          </cell>
        </row>
        <row r="62">
          <cell r="D62">
            <v>17.8</v>
          </cell>
        </row>
        <row r="64">
          <cell r="D64">
            <v>2.7</v>
          </cell>
        </row>
        <row r="65">
          <cell r="D65">
            <v>2.2000000000000002</v>
          </cell>
        </row>
        <row r="66">
          <cell r="D66">
            <v>1.3</v>
          </cell>
        </row>
        <row r="67">
          <cell r="D67">
            <v>1.1000000000000001</v>
          </cell>
        </row>
        <row r="68">
          <cell r="D68">
            <v>1.7</v>
          </cell>
        </row>
        <row r="70">
          <cell r="D70">
            <v>23.7</v>
          </cell>
        </row>
        <row r="71">
          <cell r="D71">
            <v>4</v>
          </cell>
        </row>
        <row r="72">
          <cell r="D72">
            <v>10.899999999999999</v>
          </cell>
        </row>
        <row r="86">
          <cell r="D86">
            <v>2396.4999999999995</v>
          </cell>
        </row>
        <row r="87">
          <cell r="D87">
            <v>586.29999999999995</v>
          </cell>
        </row>
        <row r="92">
          <cell r="D92">
            <v>1026.0999999999999</v>
          </cell>
        </row>
        <row r="96">
          <cell r="D96">
            <v>730.3</v>
          </cell>
        </row>
        <row r="99">
          <cell r="D99">
            <v>4050</v>
          </cell>
        </row>
        <row r="102">
          <cell r="D102">
            <v>427.3</v>
          </cell>
        </row>
        <row r="106">
          <cell r="D106">
            <v>212</v>
          </cell>
        </row>
        <row r="108">
          <cell r="D108">
            <v>3.3</v>
          </cell>
        </row>
      </sheetData>
      <sheetData sheetId="2">
        <row r="22">
          <cell r="D22">
            <v>2646.9</v>
          </cell>
        </row>
        <row r="23">
          <cell r="D23">
            <v>5709.3</v>
          </cell>
        </row>
        <row r="28">
          <cell r="D28">
            <v>391</v>
          </cell>
        </row>
        <row r="31">
          <cell r="D31">
            <v>0</v>
          </cell>
        </row>
        <row r="34">
          <cell r="D34">
            <v>32.6</v>
          </cell>
        </row>
        <row r="35">
          <cell r="D35">
            <v>15.2</v>
          </cell>
        </row>
        <row r="36">
          <cell r="D36">
            <v>12.7</v>
          </cell>
        </row>
        <row r="37">
          <cell r="D37">
            <v>397.2</v>
          </cell>
        </row>
      </sheetData>
      <sheetData sheetId="3">
        <row r="14">
          <cell r="D14">
            <v>25403.7</v>
          </cell>
        </row>
      </sheetData>
      <sheetData sheetId="4">
        <row r="14">
          <cell r="C14">
            <v>20</v>
          </cell>
        </row>
        <row r="15">
          <cell r="C15">
            <v>5</v>
          </cell>
        </row>
        <row r="16">
          <cell r="C16">
            <v>1</v>
          </cell>
        </row>
        <row r="17">
          <cell r="C17">
            <v>3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1992.5</v>
          </cell>
        </row>
        <row r="22">
          <cell r="C22">
            <v>209.70000000000002</v>
          </cell>
        </row>
        <row r="23">
          <cell r="C23">
            <v>1385.3</v>
          </cell>
        </row>
        <row r="24">
          <cell r="C24">
            <v>397.5</v>
          </cell>
        </row>
        <row r="25">
          <cell r="C25">
            <v>2013.8</v>
          </cell>
        </row>
        <row r="26">
          <cell r="C26">
            <v>218.4</v>
          </cell>
        </row>
        <row r="27">
          <cell r="C27">
            <v>1394.6</v>
          </cell>
        </row>
        <row r="28">
          <cell r="C28">
            <v>400.8</v>
          </cell>
        </row>
        <row r="29">
          <cell r="C29">
            <v>8302</v>
          </cell>
        </row>
        <row r="30">
          <cell r="C30">
            <v>17475</v>
          </cell>
        </row>
        <row r="31">
          <cell r="C31">
            <v>8246</v>
          </cell>
        </row>
        <row r="32">
          <cell r="C32">
            <v>6625</v>
          </cell>
        </row>
        <row r="33">
          <cell r="C33">
            <v>8391</v>
          </cell>
        </row>
        <row r="34">
          <cell r="C34">
            <v>18200</v>
          </cell>
        </row>
        <row r="35">
          <cell r="C35">
            <v>8301</v>
          </cell>
        </row>
        <row r="36">
          <cell r="C36">
            <v>6680</v>
          </cell>
        </row>
        <row r="45">
          <cell r="D45">
            <v>8404.6666666666679</v>
          </cell>
        </row>
        <row r="46">
          <cell r="D46">
            <v>1010.4166666666667</v>
          </cell>
        </row>
        <row r="47">
          <cell r="D47">
            <v>9415.0833333333339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4. Кап. інвестиції"/>
      <sheetName val="5. Інша інформація"/>
      <sheetName val="3. Рух грошових коштів"/>
      <sheetName val="Лист1"/>
    </sheetNames>
    <sheetDataSet>
      <sheetData sheetId="0"/>
      <sheetData sheetId="1">
        <row r="9">
          <cell r="A9" t="str">
            <v xml:space="preserve">Доходи </v>
          </cell>
        </row>
        <row r="11">
          <cell r="H11">
            <v>1405.2</v>
          </cell>
        </row>
        <row r="14">
          <cell r="H14">
            <v>12422.8</v>
          </cell>
        </row>
        <row r="16">
          <cell r="H16">
            <v>2343.6999999999998</v>
          </cell>
        </row>
        <row r="20">
          <cell r="H20">
            <v>11.2</v>
          </cell>
        </row>
        <row r="21">
          <cell r="H21">
            <v>87.2</v>
          </cell>
        </row>
        <row r="22">
          <cell r="H22">
            <v>10605</v>
          </cell>
        </row>
        <row r="23">
          <cell r="H23">
            <v>527.1</v>
          </cell>
        </row>
        <row r="24">
          <cell r="H24">
            <v>116.1</v>
          </cell>
        </row>
        <row r="25">
          <cell r="H25">
            <v>204.4</v>
          </cell>
        </row>
        <row r="26">
          <cell r="H26">
            <v>22.8</v>
          </cell>
        </row>
        <row r="28">
          <cell r="H28">
            <v>37.200000000000003</v>
          </cell>
        </row>
        <row r="29">
          <cell r="H29">
            <v>5400</v>
          </cell>
        </row>
        <row r="32">
          <cell r="H32">
            <v>3213.5</v>
          </cell>
        </row>
        <row r="33">
          <cell r="H33">
            <v>234</v>
          </cell>
        </row>
        <row r="34">
          <cell r="H34">
            <v>0</v>
          </cell>
        </row>
        <row r="40">
          <cell r="H40">
            <v>35</v>
          </cell>
        </row>
        <row r="41">
          <cell r="H41">
            <v>0</v>
          </cell>
        </row>
        <row r="42">
          <cell r="H42">
            <v>4.4000000000000004</v>
          </cell>
        </row>
        <row r="43">
          <cell r="H43">
            <v>1891.1000000000001</v>
          </cell>
        </row>
        <row r="44">
          <cell r="H44">
            <v>416</v>
          </cell>
        </row>
        <row r="45">
          <cell r="H45">
            <v>7.2</v>
          </cell>
        </row>
        <row r="46">
          <cell r="H46">
            <v>0</v>
          </cell>
        </row>
        <row r="47">
          <cell r="H47">
            <v>6</v>
          </cell>
        </row>
        <row r="48">
          <cell r="H48">
            <v>0</v>
          </cell>
        </row>
        <row r="49">
          <cell r="H49">
            <v>8</v>
          </cell>
        </row>
        <row r="50">
          <cell r="H50">
            <v>9.6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12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0">
          <cell r="H60">
            <v>15.2</v>
          </cell>
        </row>
        <row r="61">
          <cell r="H61">
            <v>10.9</v>
          </cell>
        </row>
        <row r="62">
          <cell r="H62">
            <v>0.1</v>
          </cell>
        </row>
        <row r="63">
          <cell r="H63">
            <v>42.400000000000006</v>
          </cell>
        </row>
        <row r="64">
          <cell r="H64">
            <v>0</v>
          </cell>
        </row>
        <row r="65">
          <cell r="H65">
            <v>8.4</v>
          </cell>
        </row>
        <row r="66">
          <cell r="H66">
            <v>4.8</v>
          </cell>
        </row>
        <row r="67">
          <cell r="H67">
            <v>1.6</v>
          </cell>
        </row>
        <row r="68">
          <cell r="H68">
            <v>4</v>
          </cell>
        </row>
        <row r="69">
          <cell r="H69">
            <v>2</v>
          </cell>
        </row>
        <row r="70">
          <cell r="H70">
            <v>3.5</v>
          </cell>
        </row>
        <row r="71">
          <cell r="H71">
            <v>20.399999999999999</v>
          </cell>
        </row>
        <row r="72">
          <cell r="H72">
            <v>8.8000000000000007</v>
          </cell>
        </row>
        <row r="73">
          <cell r="H73">
            <v>12</v>
          </cell>
        </row>
        <row r="83">
          <cell r="H83">
            <v>0</v>
          </cell>
        </row>
        <row r="87">
          <cell r="H87">
            <v>3213.5</v>
          </cell>
        </row>
        <row r="88">
          <cell r="H88">
            <v>142.4</v>
          </cell>
        </row>
        <row r="93">
          <cell r="H93">
            <v>1697</v>
          </cell>
        </row>
        <row r="95">
          <cell r="H95">
            <v>870.69999999999993</v>
          </cell>
        </row>
        <row r="96">
          <cell r="H96">
            <v>0</v>
          </cell>
        </row>
        <row r="97">
          <cell r="H97">
            <v>5400</v>
          </cell>
        </row>
        <row r="98">
          <cell r="H98">
            <v>0</v>
          </cell>
        </row>
        <row r="100">
          <cell r="H100">
            <v>214.3</v>
          </cell>
        </row>
        <row r="104">
          <cell r="H104">
            <v>0</v>
          </cell>
        </row>
        <row r="105">
          <cell r="H105">
            <v>223.2</v>
          </cell>
        </row>
        <row r="107">
          <cell r="H107">
            <v>0</v>
          </cell>
        </row>
        <row r="108">
          <cell r="H108">
            <v>0</v>
          </cell>
        </row>
      </sheetData>
      <sheetData sheetId="2"/>
      <sheetData sheetId="3">
        <row r="10">
          <cell r="H10">
            <v>2000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4940</v>
          </cell>
        </row>
        <row r="14">
          <cell r="H14">
            <v>24300</v>
          </cell>
        </row>
      </sheetData>
      <sheetData sheetId="4">
        <row r="11">
          <cell r="G11">
            <v>20</v>
          </cell>
        </row>
        <row r="18">
          <cell r="G18">
            <v>2418.2000000000003</v>
          </cell>
        </row>
        <row r="22">
          <cell r="G22">
            <v>2418.2000000000003</v>
          </cell>
        </row>
        <row r="26">
          <cell r="G26">
            <v>10076</v>
          </cell>
        </row>
        <row r="30">
          <cell r="G30">
            <v>10076</v>
          </cell>
        </row>
      </sheetData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4. Кап. інвестиції"/>
      <sheetName val="5. Інша інформація"/>
      <sheetName val=" 6. Коефіцієнти"/>
      <sheetName val="3. Рух грошових коштів"/>
    </sheetNames>
    <sheetDataSet>
      <sheetData sheetId="0"/>
      <sheetData sheetId="1">
        <row r="11">
          <cell r="D11">
            <v>1505.6</v>
          </cell>
        </row>
        <row r="14">
          <cell r="D14">
            <v>11737.6</v>
          </cell>
        </row>
        <row r="16">
          <cell r="D16">
            <v>3373.4</v>
          </cell>
        </row>
        <row r="20">
          <cell r="D20">
            <v>6.8000000000000007</v>
          </cell>
        </row>
        <row r="21">
          <cell r="D21">
            <v>28</v>
          </cell>
        </row>
        <row r="22">
          <cell r="D22">
            <v>9814.9000000000015</v>
          </cell>
        </row>
        <row r="23">
          <cell r="D23">
            <v>647.6</v>
          </cell>
        </row>
        <row r="24">
          <cell r="D24">
            <v>140.80000000000001</v>
          </cell>
        </row>
        <row r="25">
          <cell r="D25">
            <v>34.700000000000003</v>
          </cell>
        </row>
        <row r="26">
          <cell r="D26">
            <v>222</v>
          </cell>
        </row>
        <row r="28">
          <cell r="D28">
            <v>35.800000000000004</v>
          </cell>
        </row>
        <row r="29">
          <cell r="D29">
            <v>4220</v>
          </cell>
        </row>
        <row r="32">
          <cell r="D32">
            <v>4844.7</v>
          </cell>
        </row>
        <row r="33">
          <cell r="D33">
            <v>152</v>
          </cell>
        </row>
        <row r="34">
          <cell r="D34">
            <v>0.5</v>
          </cell>
        </row>
        <row r="42">
          <cell r="D42">
            <v>4.4000000000000004</v>
          </cell>
        </row>
        <row r="43">
          <cell r="D43">
            <v>1814</v>
          </cell>
        </row>
        <row r="44">
          <cell r="D44">
            <v>324.10000000000002</v>
          </cell>
        </row>
        <row r="45">
          <cell r="D45">
            <v>12</v>
          </cell>
        </row>
        <row r="47">
          <cell r="D47">
            <v>7.8</v>
          </cell>
        </row>
        <row r="49">
          <cell r="D49">
            <v>9.6000000000000014</v>
          </cell>
        </row>
        <row r="50">
          <cell r="D50">
            <v>11.7</v>
          </cell>
        </row>
        <row r="54">
          <cell r="D54">
            <v>55.9</v>
          </cell>
        </row>
        <row r="55">
          <cell r="D55">
            <v>3.8</v>
          </cell>
        </row>
        <row r="56">
          <cell r="D56">
            <v>0</v>
          </cell>
        </row>
        <row r="57">
          <cell r="D57">
            <v>0</v>
          </cell>
        </row>
        <row r="60">
          <cell r="D60">
            <v>15.2</v>
          </cell>
        </row>
        <row r="61">
          <cell r="D61">
            <v>14.2</v>
          </cell>
        </row>
        <row r="63">
          <cell r="D63">
            <v>27.8</v>
          </cell>
        </row>
        <row r="65">
          <cell r="D65">
            <v>8.1999999999999993</v>
          </cell>
        </row>
        <row r="66">
          <cell r="D66">
            <v>2.9000000000000004</v>
          </cell>
        </row>
        <row r="67">
          <cell r="D67">
            <v>0.3</v>
          </cell>
        </row>
        <row r="68">
          <cell r="D68">
            <v>1</v>
          </cell>
        </row>
        <row r="69">
          <cell r="D69">
            <v>2.5</v>
          </cell>
        </row>
        <row r="71">
          <cell r="D71">
            <v>15</v>
          </cell>
        </row>
        <row r="72">
          <cell r="D72">
            <v>7.1999999999999993</v>
          </cell>
        </row>
        <row r="73">
          <cell r="D73">
            <v>10.7</v>
          </cell>
        </row>
        <row r="87">
          <cell r="D87">
            <v>4844.7</v>
          </cell>
        </row>
        <row r="88">
          <cell r="D88">
            <v>113.1</v>
          </cell>
        </row>
        <row r="93">
          <cell r="D93">
            <v>1541.25</v>
          </cell>
        </row>
        <row r="95">
          <cell r="D95">
            <v>843.6</v>
          </cell>
        </row>
        <row r="97">
          <cell r="D97">
            <v>5064</v>
          </cell>
        </row>
        <row r="100">
          <cell r="D100">
            <v>588.1</v>
          </cell>
        </row>
        <row r="104">
          <cell r="D104">
            <v>0.6</v>
          </cell>
        </row>
        <row r="105">
          <cell r="D105">
            <v>119.2</v>
          </cell>
        </row>
        <row r="107">
          <cell r="D107">
            <v>6.4</v>
          </cell>
        </row>
      </sheetData>
      <sheetData sheetId="2">
        <row r="22">
          <cell r="D22">
            <v>3373.4</v>
          </cell>
        </row>
        <row r="23">
          <cell r="D23">
            <v>6969.2</v>
          </cell>
        </row>
        <row r="28">
          <cell r="D28">
            <v>466.9</v>
          </cell>
        </row>
        <row r="31">
          <cell r="D31">
            <v>0.6</v>
          </cell>
        </row>
        <row r="34">
          <cell r="D34">
            <v>38.9</v>
          </cell>
        </row>
        <row r="35">
          <cell r="D35">
            <v>15.2</v>
          </cell>
        </row>
        <row r="36">
          <cell r="D36">
            <v>14.2</v>
          </cell>
        </row>
        <row r="37">
          <cell r="D37">
            <v>481.6</v>
          </cell>
        </row>
      </sheetData>
      <sheetData sheetId="3">
        <row r="10">
          <cell r="D10">
            <v>4975.2</v>
          </cell>
        </row>
        <row r="13">
          <cell r="D13">
            <v>2397</v>
          </cell>
        </row>
        <row r="14">
          <cell r="D14">
            <v>19823.7</v>
          </cell>
        </row>
      </sheetData>
      <sheetData sheetId="4">
        <row r="15">
          <cell r="C15">
            <v>5</v>
          </cell>
        </row>
        <row r="16">
          <cell r="C16">
            <v>1</v>
          </cell>
        </row>
        <row r="17">
          <cell r="C17">
            <v>3</v>
          </cell>
        </row>
        <row r="19">
          <cell r="C19">
            <v>7</v>
          </cell>
        </row>
        <row r="20">
          <cell r="C20">
            <v>5</v>
          </cell>
        </row>
        <row r="22">
          <cell r="C22">
            <v>255.8</v>
          </cell>
        </row>
        <row r="23">
          <cell r="C23">
            <v>1558.2</v>
          </cell>
        </row>
        <row r="24">
          <cell r="C24">
            <v>647.6</v>
          </cell>
        </row>
        <row r="26">
          <cell r="C26">
            <v>255.8</v>
          </cell>
        </row>
        <row r="27">
          <cell r="C27">
            <v>1562.2</v>
          </cell>
        </row>
        <row r="28">
          <cell r="C28">
            <v>672.80000000000007</v>
          </cell>
        </row>
        <row r="30">
          <cell r="C30">
            <v>21317</v>
          </cell>
        </row>
        <row r="31">
          <cell r="C31">
            <v>16231</v>
          </cell>
        </row>
        <row r="32">
          <cell r="C32">
            <v>7710</v>
          </cell>
        </row>
        <row r="34">
          <cell r="C34">
            <v>21317</v>
          </cell>
        </row>
        <row r="35">
          <cell r="C35">
            <v>16273</v>
          </cell>
        </row>
        <row r="36">
          <cell r="C36">
            <v>8010</v>
          </cell>
        </row>
      </sheetData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адові оклади 01.02.20 "/>
      <sheetName val="ФОП 01.02.2020 (2)"/>
      <sheetName val="фп зарплата"/>
      <sheetName val="Фінпідтримка"/>
      <sheetName val="послуги 2020"/>
      <sheetName val="бюджет доходів"/>
      <sheetName val="матеріальні витрати"/>
      <sheetName val="Добовий графік"/>
      <sheetName val="Час освітлення"/>
      <sheetName val="факт 2019"/>
      <sheetName val="елен"/>
      <sheetName val="бюджет енерговитрат"/>
      <sheetName val="норми витрат палива"/>
      <sheetName val="ПР МЗО"/>
      <sheetName val="посадові оклади 01.01.20"/>
      <sheetName val="ФОП 01.01.2020"/>
      <sheetName val="ФОП 01.01.2020рез"/>
      <sheetName val="ФОП 01.01.2020 без премії"/>
      <sheetName val="бюджет трудових витрат"/>
      <sheetName val="бюджет аморт.відрахувань"/>
      <sheetName val="бюджет ПДВ"/>
      <sheetName val="бюджет податків"/>
      <sheetName val="бюджет інши витрати"/>
      <sheetName val="ФП форма 1"/>
      <sheetName val="ФП форма 2"/>
      <sheetName val="ФП форма 3"/>
      <sheetName val="грошові потоки"/>
      <sheetName val="25%"/>
      <sheetName val=" дохід від рекламоносії"/>
      <sheetName val="Лист2"/>
    </sheetNames>
    <sheetDataSet>
      <sheetData sheetId="0"/>
      <sheetData sheetId="1"/>
      <sheetData sheetId="2"/>
      <sheetData sheetId="3">
        <row r="71">
          <cell r="M71">
            <v>354.5</v>
          </cell>
          <cell r="P71">
            <v>354.5</v>
          </cell>
          <cell r="S71">
            <v>366.1</v>
          </cell>
          <cell r="V71">
            <v>369.3</v>
          </cell>
        </row>
        <row r="74">
          <cell r="M74">
            <v>48.5</v>
          </cell>
          <cell r="P74">
            <v>48.5</v>
          </cell>
          <cell r="S74">
            <v>48.5</v>
          </cell>
          <cell r="V74">
            <v>48.5</v>
          </cell>
        </row>
        <row r="75">
          <cell r="M75">
            <v>112.5</v>
          </cell>
          <cell r="P75">
            <v>112.5</v>
          </cell>
          <cell r="S75">
            <v>112.5</v>
          </cell>
          <cell r="V75">
            <v>112.5</v>
          </cell>
        </row>
      </sheetData>
      <sheetData sheetId="4"/>
      <sheetData sheetId="5">
        <row r="67">
          <cell r="H67">
            <v>64.400000000000006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18">
          <cell r="H18">
            <v>540.4</v>
          </cell>
        </row>
      </sheetData>
      <sheetData sheetId="14"/>
      <sheetData sheetId="15"/>
      <sheetData sheetId="16">
        <row r="36">
          <cell r="Z36">
            <v>73.7</v>
          </cell>
        </row>
      </sheetData>
      <sheetData sheetId="17"/>
      <sheetData sheetId="18"/>
      <sheetData sheetId="19"/>
      <sheetData sheetId="20">
        <row r="21">
          <cell r="E21">
            <v>1272627</v>
          </cell>
          <cell r="I21">
            <v>1058513</v>
          </cell>
          <cell r="M21">
            <v>1010802</v>
          </cell>
          <cell r="Q21">
            <v>1398269</v>
          </cell>
        </row>
      </sheetData>
      <sheetData sheetId="21"/>
      <sheetData sheetId="22">
        <row r="15">
          <cell r="R15">
            <v>6600.0000000000009</v>
          </cell>
        </row>
      </sheetData>
      <sheetData sheetId="23"/>
      <sheetData sheetId="24"/>
      <sheetData sheetId="25">
        <row r="17">
          <cell r="Z17">
            <v>496.90000000000055</v>
          </cell>
          <cell r="AD17">
            <v>449.29999999999973</v>
          </cell>
          <cell r="AH17">
            <v>457</v>
          </cell>
          <cell r="AL17">
            <v>505.59999999999945</v>
          </cell>
        </row>
        <row r="18">
          <cell r="Z18">
            <v>5950.9</v>
          </cell>
          <cell r="AD18">
            <v>3770.1</v>
          </cell>
          <cell r="AH18">
            <v>3261.3</v>
          </cell>
          <cell r="AL18">
            <v>5863.1</v>
          </cell>
        </row>
        <row r="28">
          <cell r="Z28">
            <v>966.4</v>
          </cell>
          <cell r="AD28">
            <v>1014.9</v>
          </cell>
          <cell r="AH28">
            <v>1096.9000000000001</v>
          </cell>
          <cell r="AL28">
            <v>1174</v>
          </cell>
        </row>
        <row r="33">
          <cell r="Z33">
            <v>3.1</v>
          </cell>
        </row>
        <row r="35">
          <cell r="Z35">
            <v>5054.5</v>
          </cell>
          <cell r="AD35">
            <v>3205.3</v>
          </cell>
          <cell r="AH35">
            <v>2786.4</v>
          </cell>
          <cell r="AL35">
            <v>4987.1000000000004</v>
          </cell>
        </row>
        <row r="36">
          <cell r="Z36">
            <v>333</v>
          </cell>
          <cell r="AD36">
            <v>333</v>
          </cell>
          <cell r="AH36">
            <v>346.8</v>
          </cell>
          <cell r="AL36">
            <v>350.5</v>
          </cell>
        </row>
        <row r="37">
          <cell r="Z37">
            <v>73.2</v>
          </cell>
          <cell r="AD37">
            <v>73.100000000000009</v>
          </cell>
          <cell r="AH37">
            <v>76.399999999999991</v>
          </cell>
          <cell r="AL37">
            <v>77.099999999999994</v>
          </cell>
        </row>
        <row r="43">
          <cell r="Z43">
            <v>10.199999999999999</v>
          </cell>
          <cell r="AD43">
            <v>10.199999999999999</v>
          </cell>
          <cell r="AH43">
            <v>10.199999999999999</v>
          </cell>
          <cell r="AL43">
            <v>10.199999999999999</v>
          </cell>
        </row>
        <row r="62">
          <cell r="Z62">
            <v>602.79999999999995</v>
          </cell>
          <cell r="AD62">
            <v>602.79999999999995</v>
          </cell>
          <cell r="AH62">
            <v>627.9</v>
          </cell>
          <cell r="AL62">
            <v>634.19999999999993</v>
          </cell>
        </row>
        <row r="63">
          <cell r="Z63">
            <v>121.2</v>
          </cell>
          <cell r="AD63">
            <v>121.3</v>
          </cell>
          <cell r="AH63">
            <v>126.10000000000001</v>
          </cell>
          <cell r="AL63">
            <v>127.4</v>
          </cell>
        </row>
      </sheetData>
      <sheetData sheetId="26"/>
      <sheetData sheetId="27"/>
      <sheetData sheetId="28"/>
      <sheetData sheetId="2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4. Кап. інвестиції"/>
      <sheetName val="5. Інша інформація"/>
      <sheetName val=" 6. Коефіцієнти"/>
      <sheetName val="3. Рух грошових коштів"/>
    </sheetNames>
    <sheetDataSet>
      <sheetData sheetId="0" refreshError="1"/>
      <sheetData sheetId="1">
        <row r="11">
          <cell r="D11">
            <v>520.4</v>
          </cell>
        </row>
        <row r="56">
          <cell r="D56">
            <v>0</v>
          </cell>
        </row>
        <row r="58">
          <cell r="D58">
            <v>0</v>
          </cell>
        </row>
      </sheetData>
      <sheetData sheetId="2">
        <row r="22">
          <cell r="D22">
            <v>1154.5999999999999</v>
          </cell>
        </row>
      </sheetData>
      <sheetData sheetId="3" refreshError="1"/>
      <sheetData sheetId="4">
        <row r="22">
          <cell r="C22">
            <v>98.7</v>
          </cell>
        </row>
      </sheetData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4. Кап. інвестиції"/>
      <sheetName val="5. Інша інформація"/>
      <sheetName val="3. Рух грошових коштів"/>
      <sheetName val="річні зміни"/>
      <sheetName val="Лист1"/>
    </sheetNames>
    <sheetDataSet>
      <sheetData sheetId="0"/>
      <sheetData sheetId="1">
        <row r="11">
          <cell r="I11">
            <v>1199.8669999999997</v>
          </cell>
        </row>
        <row r="56">
          <cell r="L56">
            <v>0</v>
          </cell>
          <cell r="M56">
            <v>0</v>
          </cell>
        </row>
        <row r="58">
          <cell r="L58">
            <v>0</v>
          </cell>
          <cell r="M58">
            <v>0</v>
          </cell>
        </row>
      </sheetData>
      <sheetData sheetId="2">
        <row r="20">
          <cell r="I20">
            <v>2016.1</v>
          </cell>
        </row>
        <row r="21">
          <cell r="I21">
            <v>3290.1849999999999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371.05199999999996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2">
          <cell r="I32">
            <v>30.920999999999999</v>
          </cell>
        </row>
        <row r="33">
          <cell r="I33">
            <v>14.4</v>
          </cell>
        </row>
        <row r="34">
          <cell r="I34">
            <v>10.9</v>
          </cell>
        </row>
        <row r="35">
          <cell r="I35">
            <v>453.3</v>
          </cell>
        </row>
      </sheetData>
      <sheetData sheetId="3">
        <row r="10">
          <cell r="I10">
            <v>20</v>
          </cell>
        </row>
      </sheetData>
      <sheetData sheetId="4">
        <row r="14">
          <cell r="H14">
            <v>20</v>
          </cell>
        </row>
      </sheetData>
      <sheetData sheetId="5"/>
      <sheetData sheetId="6"/>
      <sheetData sheetId="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Звіт по фінплану - зведені"/>
      <sheetName val="1.Фінансовий результат"/>
      <sheetName val="2. Розрахунки з бюджетом"/>
      <sheetName val="4. Кап. інвестиції"/>
      <sheetName val="5. Інша інформація"/>
      <sheetName val=" 6. Коефіцієнти"/>
      <sheetName val="3. Рух грошових коштів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4. Кап. інвестиції"/>
      <sheetName val="5. Інша інформація"/>
      <sheetName val="3. Рух грошових коштів"/>
      <sheetName val="зміни"/>
      <sheetName val="річні зміни"/>
    </sheetNames>
    <sheetDataSet>
      <sheetData sheetId="0" refreshError="1"/>
      <sheetData sheetId="1">
        <row r="11">
          <cell r="G11">
            <v>944</v>
          </cell>
        </row>
        <row r="46">
          <cell r="K46">
            <v>0</v>
          </cell>
        </row>
      </sheetData>
      <sheetData sheetId="2">
        <row r="18">
          <cell r="G1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лан - зведені показники"/>
      <sheetName val="1.Фінансовий результат"/>
      <sheetName val="2. Розрахунки з бюджетом"/>
      <sheetName val="4. Кап. інвестиції"/>
      <sheetName val="5. Інша інформація"/>
      <sheetName val="3. Рух грошових коштів"/>
    </sheetNames>
    <sheetDataSet>
      <sheetData sheetId="0" refreshError="1"/>
      <sheetData sheetId="1" refreshError="1">
        <row r="10">
          <cell r="G10">
            <v>11271.267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</sheetData>
      <sheetData sheetId="2" refreshError="1">
        <row r="16">
          <cell r="G16">
            <v>-2447.1329999999966</v>
          </cell>
        </row>
        <row r="18">
          <cell r="G18">
            <v>0</v>
          </cell>
        </row>
        <row r="19">
          <cell r="G19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 2015"/>
      <sheetName val="Рух грошових коштів факт"/>
      <sheetName val="Фінплан 2015 перезахист"/>
      <sheetName val="Факт 9 місяців 2015"/>
      <sheetName val="Факт 1 півріччя 2015"/>
      <sheetName val="Факт 1 квартал 2015"/>
      <sheetName val="Фінплан 2015"/>
      <sheetName val="Рух грошових коштів"/>
      <sheetName val="ПР МЗО"/>
    </sheetNames>
    <sheetDataSet>
      <sheetData sheetId="0">
        <row r="58">
          <cell r="V58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одключения рекл щитов"/>
      <sheetName val="ФОП 01.02.2017"/>
      <sheetName val="Калькуляції використання опор"/>
      <sheetName val="підкл, відкл, погодж"/>
      <sheetName val="Лист4"/>
      <sheetName val="рекламоносії"/>
      <sheetName val="Калькуляції на послуги балансоу"/>
      <sheetName val="Послуги балансоутримувача"/>
      <sheetName val="Калькуляції на пульт"/>
      <sheetName val="пульт 2017"/>
      <sheetName val="штатний розпис"/>
      <sheetName val="Добовий графік"/>
      <sheetName val="Час освітлення"/>
      <sheetName val="бюджет доходів"/>
      <sheetName val="матеріальні витрати"/>
      <sheetName val="бюджет енерговитрат"/>
      <sheetName val="посадові оклади 31.12.16"/>
      <sheetName val="ФОП 31.12.16"/>
      <sheetName val="посадові оклади 01.02.17"/>
      <sheetName val="бюджет трудових витрат"/>
      <sheetName val="бюджет аморт.відрахувань"/>
      <sheetName val="бюджет ПДВ"/>
      <sheetName val="бюджет податків"/>
      <sheetName val="бюджет інши витрати"/>
      <sheetName val="Лист1"/>
      <sheetName val="Фінплан 2017"/>
      <sheetName val="Рух грошових коштів"/>
      <sheetName val="Фінансовий план"/>
      <sheetName val="грошові потоки"/>
      <sheetName val="20%"/>
      <sheetName val="ПР МЗО"/>
      <sheetName val="010115 21 особа"/>
      <sheetName val="Лист2"/>
      <sheetName val="Фінплан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34">
          <cell r="Z34">
            <v>2.8</v>
          </cell>
        </row>
        <row r="59">
          <cell r="Z59">
            <v>0</v>
          </cell>
          <cell r="AD59">
            <v>0</v>
          </cell>
          <cell r="AH59">
            <v>0</v>
          </cell>
        </row>
        <row r="60">
          <cell r="AL60">
            <v>0</v>
          </cell>
        </row>
        <row r="72">
          <cell r="Z72">
            <v>0</v>
          </cell>
          <cell r="AL72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ідтримка фінансовий план"/>
      <sheetName val="Фінпідтримка 2020 надана "/>
      <sheetName val="Фінпідтримка Тар угода"/>
      <sheetName val="фп зарплата Тер угода"/>
      <sheetName val="Фінпідтримка 2 стар + 10 нов"/>
      <sheetName val="фінпідтримка остаточна"/>
    </sheetNames>
    <sheetDataSet>
      <sheetData sheetId="0"/>
      <sheetData sheetId="1"/>
      <sheetData sheetId="2"/>
      <sheetData sheetId="3"/>
      <sheetData sheetId="4"/>
      <sheetData sheetId="5">
        <row r="69">
          <cell r="N69">
            <v>296.5</v>
          </cell>
          <cell r="Q69">
            <v>375</v>
          </cell>
          <cell r="T69">
            <v>388.2</v>
          </cell>
          <cell r="W69">
            <v>391.6</v>
          </cell>
        </row>
        <row r="70">
          <cell r="N70">
            <v>571.5</v>
          </cell>
          <cell r="Q70">
            <v>1051.5</v>
          </cell>
          <cell r="T70">
            <v>1096.3</v>
          </cell>
          <cell r="W70">
            <v>1089.9000000000001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підтримка фінансовий план"/>
      <sheetName val="Фінпідтримка 2020 надана "/>
      <sheetName val="Фінпідтримка Тар угода"/>
      <sheetName val="фп зарплата Тер угода"/>
      <sheetName val="Фінпідтримка 2 стар + 10 нов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8">
          <cell r="N68">
            <v>296.5</v>
          </cell>
          <cell r="Q68">
            <v>375</v>
          </cell>
          <cell r="T68">
            <v>388.2</v>
          </cell>
          <cell r="W68">
            <v>391.5</v>
          </cell>
        </row>
        <row r="69">
          <cell r="N69">
            <v>524.5</v>
          </cell>
          <cell r="Q69">
            <v>878.9</v>
          </cell>
          <cell r="T69">
            <v>914.2</v>
          </cell>
          <cell r="W69">
            <v>906.9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22"/>
  <sheetViews>
    <sheetView showZeros="0" view="pageBreakPreview" topLeftCell="A41" zoomScale="75" zoomScaleNormal="60" zoomScaleSheetLayoutView="75" workbookViewId="0">
      <selection activeCell="H40" sqref="H40"/>
    </sheetView>
  </sheetViews>
  <sheetFormatPr defaultRowHeight="18.75" outlineLevelRow="1" outlineLevelCol="1"/>
  <cols>
    <col min="1" max="1" width="52.7109375" style="3" customWidth="1"/>
    <col min="2" max="2" width="9.28515625" style="25" customWidth="1"/>
    <col min="3" max="3" width="13.28515625" style="25" hidden="1" customWidth="1" outlineLevel="1"/>
    <col min="4" max="4" width="12.85546875" style="25" hidden="1" customWidth="1" outlineLevel="1"/>
    <col min="5" max="5" width="12.42578125" style="25" hidden="1" customWidth="1" outlineLevel="1"/>
    <col min="6" max="6" width="12.42578125" style="309" customWidth="1" collapsed="1"/>
    <col min="7" max="7" width="14.5703125" style="25" hidden="1" customWidth="1" outlineLevel="1"/>
    <col min="8" max="8" width="14.5703125" style="155" customWidth="1" collapsed="1"/>
    <col min="9" max="9" width="14.5703125" style="328" customWidth="1"/>
    <col min="10" max="10" width="11.85546875" style="3" customWidth="1"/>
    <col min="11" max="12" width="12.140625" style="3" customWidth="1"/>
    <col min="13" max="13" width="11.28515625" style="3" customWidth="1"/>
    <col min="14" max="14" width="12.5703125" style="3" customWidth="1"/>
    <col min="15" max="15" width="10" style="3" customWidth="1"/>
    <col min="16" max="16" width="9.5703125" style="3" customWidth="1"/>
    <col min="17" max="18" width="9.140625" style="3"/>
    <col min="19" max="19" width="10.5703125" style="3" customWidth="1"/>
    <col min="20" max="16384" width="9.140625" style="3"/>
  </cols>
  <sheetData>
    <row r="1" spans="1:14" ht="20.100000000000001" customHeight="1">
      <c r="B1" s="3"/>
      <c r="C1" s="3"/>
      <c r="D1" s="3"/>
      <c r="E1" s="3"/>
      <c r="F1" s="314"/>
      <c r="G1" s="3"/>
      <c r="H1" s="174"/>
      <c r="I1" s="330"/>
      <c r="K1" s="3" t="s">
        <v>343</v>
      </c>
      <c r="N1" s="3">
        <v>1</v>
      </c>
    </row>
    <row r="2" spans="1:14" ht="20.100000000000001" customHeight="1">
      <c r="B2" s="3"/>
      <c r="C2" s="3"/>
      <c r="D2" s="3"/>
      <c r="E2" s="3"/>
      <c r="F2" s="314"/>
      <c r="G2" s="3"/>
      <c r="H2" s="174"/>
      <c r="I2" s="330"/>
      <c r="K2" s="3" t="s">
        <v>344</v>
      </c>
    </row>
    <row r="3" spans="1:14" ht="20.100000000000001" customHeight="1">
      <c r="B3" s="3"/>
      <c r="C3" s="3"/>
      <c r="D3" s="3"/>
      <c r="E3" s="3"/>
      <c r="F3" s="314"/>
      <c r="G3" s="3"/>
      <c r="H3" s="174"/>
      <c r="I3" s="330"/>
      <c r="K3" s="3" t="s">
        <v>345</v>
      </c>
    </row>
    <row r="4" spans="1:14" ht="20.100000000000001" customHeight="1">
      <c r="B4" s="3"/>
      <c r="C4" s="3"/>
      <c r="D4" s="3"/>
      <c r="E4" s="3"/>
      <c r="F4" s="314"/>
      <c r="G4" s="3"/>
      <c r="H4" s="174"/>
      <c r="I4" s="330"/>
      <c r="K4" s="3" t="s">
        <v>346</v>
      </c>
    </row>
    <row r="5" spans="1:14" ht="20.100000000000001" customHeight="1">
      <c r="B5" s="3"/>
      <c r="C5" s="3"/>
      <c r="D5" s="3"/>
      <c r="E5" s="3"/>
      <c r="F5" s="314"/>
      <c r="G5" s="3"/>
      <c r="H5" s="174"/>
      <c r="I5" s="330"/>
      <c r="K5" s="3" t="s">
        <v>347</v>
      </c>
    </row>
    <row r="6" spans="1:14" ht="18.75" customHeight="1">
      <c r="B6" s="3"/>
      <c r="C6" s="3"/>
      <c r="D6" s="3"/>
      <c r="E6" s="3"/>
      <c r="F6" s="314"/>
      <c r="G6" s="3"/>
      <c r="H6" s="174"/>
      <c r="I6" s="330"/>
    </row>
    <row r="7" spans="1:14" ht="19.5" hidden="1" customHeight="1">
      <c r="B7" s="3"/>
      <c r="C7" s="3"/>
      <c r="D7" s="3"/>
      <c r="E7" s="3"/>
      <c r="F7" s="314"/>
      <c r="G7" s="3"/>
      <c r="H7" s="174"/>
      <c r="I7" s="330"/>
    </row>
    <row r="8" spans="1:14" ht="8.25" customHeight="1">
      <c r="B8" s="3"/>
      <c r="C8" s="3"/>
      <c r="D8" s="3"/>
      <c r="E8" s="3"/>
      <c r="F8" s="314"/>
      <c r="G8" s="3"/>
      <c r="H8" s="174"/>
      <c r="I8" s="330"/>
    </row>
    <row r="9" spans="1:14">
      <c r="A9" s="392" t="s">
        <v>252</v>
      </c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</row>
    <row r="10" spans="1:14">
      <c r="A10" s="392" t="s">
        <v>300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</row>
    <row r="11" spans="1:14">
      <c r="A11" s="392" t="s">
        <v>366</v>
      </c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</row>
    <row r="12" spans="1:14" ht="14.25" customHeight="1">
      <c r="A12" s="14"/>
      <c r="B12" s="14"/>
      <c r="C12" s="14"/>
      <c r="D12" s="14"/>
      <c r="E12" s="14"/>
      <c r="F12" s="311"/>
      <c r="G12" s="14"/>
      <c r="H12" s="156"/>
      <c r="I12" s="326"/>
      <c r="J12" s="14"/>
      <c r="K12" s="14"/>
      <c r="L12" s="14"/>
      <c r="M12" s="14"/>
      <c r="N12" s="14"/>
    </row>
    <row r="13" spans="1:14" ht="21.75" customHeight="1">
      <c r="A13" s="392" t="s">
        <v>342</v>
      </c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</row>
    <row r="14" spans="1:14" ht="12" customHeight="1">
      <c r="B14" s="27"/>
      <c r="C14" s="4"/>
      <c r="D14" s="4"/>
      <c r="E14" s="4"/>
      <c r="F14" s="312"/>
      <c r="G14" s="4"/>
      <c r="H14" s="382"/>
      <c r="I14" s="329"/>
      <c r="J14" s="27"/>
      <c r="K14" s="27"/>
      <c r="L14" s="27"/>
      <c r="M14" s="27"/>
      <c r="N14" s="27"/>
    </row>
    <row r="15" spans="1:14" s="254" customFormat="1" ht="31.5" customHeight="1">
      <c r="A15" s="401" t="s">
        <v>195</v>
      </c>
      <c r="B15" s="402" t="s">
        <v>6</v>
      </c>
      <c r="C15" s="396" t="s">
        <v>326</v>
      </c>
      <c r="D15" s="398" t="s">
        <v>337</v>
      </c>
      <c r="E15" s="398" t="s">
        <v>354</v>
      </c>
      <c r="F15" s="398" t="s">
        <v>363</v>
      </c>
      <c r="G15" s="396" t="s">
        <v>364</v>
      </c>
      <c r="H15" s="403" t="s">
        <v>382</v>
      </c>
      <c r="I15" s="396" t="s">
        <v>371</v>
      </c>
      <c r="J15" s="402" t="s">
        <v>372</v>
      </c>
      <c r="K15" s="393" t="s">
        <v>283</v>
      </c>
      <c r="L15" s="394"/>
      <c r="M15" s="394"/>
      <c r="N15" s="395"/>
    </row>
    <row r="16" spans="1:14" s="254" customFormat="1" ht="66.75" customHeight="1">
      <c r="A16" s="401"/>
      <c r="B16" s="402"/>
      <c r="C16" s="399"/>
      <c r="D16" s="398"/>
      <c r="E16" s="398"/>
      <c r="F16" s="398"/>
      <c r="G16" s="397"/>
      <c r="H16" s="404"/>
      <c r="I16" s="397"/>
      <c r="J16" s="402"/>
      <c r="K16" s="255" t="s">
        <v>155</v>
      </c>
      <c r="L16" s="255" t="s">
        <v>156</v>
      </c>
      <c r="M16" s="255" t="s">
        <v>157</v>
      </c>
      <c r="N16" s="255" t="s">
        <v>58</v>
      </c>
    </row>
    <row r="17" spans="1:15" ht="20.100000000000001" customHeight="1">
      <c r="A17" s="6">
        <v>1</v>
      </c>
      <c r="B17" s="7">
        <v>2</v>
      </c>
      <c r="C17" s="7">
        <v>3</v>
      </c>
      <c r="D17" s="197">
        <v>3</v>
      </c>
      <c r="E17" s="7">
        <v>3</v>
      </c>
      <c r="F17" s="316">
        <v>3</v>
      </c>
      <c r="G17" s="7">
        <v>4</v>
      </c>
      <c r="H17" s="248">
        <v>5</v>
      </c>
      <c r="I17" s="331">
        <v>5</v>
      </c>
      <c r="J17" s="7">
        <v>6</v>
      </c>
      <c r="K17" s="7">
        <v>7</v>
      </c>
      <c r="L17" s="7">
        <v>8</v>
      </c>
      <c r="M17" s="7">
        <v>9</v>
      </c>
      <c r="N17" s="7">
        <v>10</v>
      </c>
    </row>
    <row r="18" spans="1:15" ht="24.95" customHeight="1">
      <c r="A18" s="408" t="s">
        <v>82</v>
      </c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10"/>
    </row>
    <row r="19" spans="1:15" ht="37.5">
      <c r="A19" s="69" t="s">
        <v>170</v>
      </c>
      <c r="B19" s="6">
        <f>'1.Фінансовий результат'!B18</f>
        <v>1040</v>
      </c>
      <c r="C19" s="13">
        <f>'1.Фінансовий результат'!C18</f>
        <v>3238.4999999999995</v>
      </c>
      <c r="D19" s="13">
        <f>'1.Фінансовий результат'!D18</f>
        <v>6294.0000000000009</v>
      </c>
      <c r="E19" s="13">
        <f>'1.Фінансовий результат'!E18</f>
        <v>8807.6999999999989</v>
      </c>
      <c r="F19" s="13">
        <f>'1.Фінансовий результат'!F18</f>
        <v>8651.2000000000007</v>
      </c>
      <c r="G19" s="13">
        <f>'1.Фінансовий результат'!G18</f>
        <v>11484.3</v>
      </c>
      <c r="H19" s="166">
        <f>'1.Фінансовий результат'!H18</f>
        <v>9869.8000000000011</v>
      </c>
      <c r="I19" s="13">
        <v>16994.599999999999</v>
      </c>
      <c r="J19" s="13">
        <f>'1.Фінансовий результат'!J18</f>
        <v>16259.016666666666</v>
      </c>
      <c r="K19" s="13">
        <f>'1.Фінансовий результат'!K18</f>
        <v>5108.083333333333</v>
      </c>
      <c r="L19" s="13">
        <f>'1.Фінансовий результат'!L18</f>
        <v>3253.1833333333334</v>
      </c>
      <c r="M19" s="13">
        <f>'1.Фінансовий результат'!M18</f>
        <v>2844.2833333333333</v>
      </c>
      <c r="N19" s="13">
        <f>'1.Фінансовий результат'!N18</f>
        <v>5053.4666666666672</v>
      </c>
      <c r="O19" s="208"/>
    </row>
    <row r="20" spans="1:15" ht="37.5">
      <c r="A20" s="69" t="s">
        <v>142</v>
      </c>
      <c r="B20" s="6">
        <f>'1.Фінансовий результат'!B19</f>
        <v>1050</v>
      </c>
      <c r="C20" s="13">
        <f>'1.Фінансовий результат'!C19</f>
        <v>2969.8</v>
      </c>
      <c r="D20" s="13">
        <f>'1.Фінансовий результат'!D19</f>
        <v>6673</v>
      </c>
      <c r="E20" s="13">
        <f>'1.Фінансовий результат'!E19</f>
        <v>8763.0000000000018</v>
      </c>
      <c r="F20" s="13">
        <f>'1.Фінансовий результат'!F19</f>
        <v>12600.9</v>
      </c>
      <c r="G20" s="13">
        <f>'1.Фінансовий результат'!G19</f>
        <v>17011</v>
      </c>
      <c r="H20" s="166">
        <f>'1.Фінансовий результат'!H19</f>
        <v>15150.600000000002</v>
      </c>
      <c r="I20" s="13">
        <v>24600.199999999997</v>
      </c>
      <c r="J20" s="13">
        <f>'1.Фінансовий результат'!J19</f>
        <v>23318.316666666666</v>
      </c>
      <c r="K20" s="13">
        <f>'1.Фінансовий результат'!K19</f>
        <v>6734.1333333333332</v>
      </c>
      <c r="L20" s="13">
        <f>'1.Фінансовий результат'!L19</f>
        <v>5053.4333333333334</v>
      </c>
      <c r="M20" s="13">
        <f>'1.Фінансовий результат'!M19</f>
        <v>4661.6333333333332</v>
      </c>
      <c r="N20" s="13">
        <f>'1.Фінансовий результат'!N19</f>
        <v>6869.1166666666668</v>
      </c>
      <c r="O20" s="208"/>
    </row>
    <row r="21" spans="1:15" ht="37.5" customHeight="1">
      <c r="A21" s="70" t="s">
        <v>209</v>
      </c>
      <c r="B21" s="86">
        <f>'1.Фінансовий результат'!B30</f>
        <v>1060</v>
      </c>
      <c r="C21" s="113">
        <f>'1.Фінансовий результат'!C30</f>
        <v>268.69999999999936</v>
      </c>
      <c r="D21" s="113">
        <f>'1.Фінансовий результат'!D30</f>
        <v>-378.99999999999909</v>
      </c>
      <c r="E21" s="113">
        <f>'1.Фінансовий результат'!E30</f>
        <v>44.69999999999709</v>
      </c>
      <c r="F21" s="113">
        <f>'1.Фінансовий результат'!F30</f>
        <v>-3949.6999999999989</v>
      </c>
      <c r="G21" s="113">
        <f>'1.Фінансовий результат'!G30</f>
        <v>-5526.7000000000007</v>
      </c>
      <c r="H21" s="204">
        <f>'1.Фінансовий результат'!H30</f>
        <v>-5280.8000000000011</v>
      </c>
      <c r="I21" s="113">
        <v>-7605.5999999999985</v>
      </c>
      <c r="J21" s="113">
        <f>'1.Фінансовий результат'!J30</f>
        <v>-7059.2999999999993</v>
      </c>
      <c r="K21" s="113">
        <f>'1.Фінансовий результат'!K30</f>
        <v>-1626.0500000000002</v>
      </c>
      <c r="L21" s="113">
        <f>'1.Фінансовий результат'!L30</f>
        <v>-1800.25</v>
      </c>
      <c r="M21" s="113">
        <f>'1.Фінансовий результат'!M30</f>
        <v>-1817.35</v>
      </c>
      <c r="N21" s="113">
        <f>'1.Фінансовий результат'!N30</f>
        <v>-1815.6499999999996</v>
      </c>
      <c r="O21" s="208"/>
    </row>
    <row r="22" spans="1:15" ht="25.5" customHeight="1">
      <c r="A22" s="69" t="s">
        <v>253</v>
      </c>
      <c r="B22" s="6">
        <f>'1.Фінансовий результат'!B31</f>
        <v>1070</v>
      </c>
      <c r="C22" s="13">
        <f>'1.Фінансовий результат'!C31</f>
        <v>954.09999999999991</v>
      </c>
      <c r="D22" s="13">
        <f>'1.Фінансовий результат'!D31</f>
        <v>1611.8999999999999</v>
      </c>
      <c r="E22" s="13">
        <f>'1.Фінансовий результат'!E31</f>
        <v>2583.8000000000002</v>
      </c>
      <c r="F22" s="13">
        <f>'1.Фінансовий результат'!F31</f>
        <v>2946.5999999999995</v>
      </c>
      <c r="G22" s="13">
        <f>'1.Фінансовий результат'!G31</f>
        <v>3447.5</v>
      </c>
      <c r="H22" s="166">
        <f>'1.Фінансовий результат'!H31</f>
        <v>4997.2</v>
      </c>
      <c r="I22" s="13">
        <v>4509.8</v>
      </c>
      <c r="J22" s="13">
        <f>'1.Фінансовий результат'!J31</f>
        <v>4509.8</v>
      </c>
      <c r="K22" s="13">
        <f>'1.Фінансовий результат'!K31</f>
        <v>1030.8</v>
      </c>
      <c r="L22" s="13">
        <f>'1.Фінансовий результат'!L31</f>
        <v>1079.3</v>
      </c>
      <c r="M22" s="13">
        <f>'1.Фінансовий результат'!M31</f>
        <v>1161.3000000000002</v>
      </c>
      <c r="N22" s="13">
        <f>'1.Фінансовий результат'!N31</f>
        <v>1238.4000000000001</v>
      </c>
      <c r="O22" s="208"/>
    </row>
    <row r="23" spans="1:15" ht="25.5" customHeight="1">
      <c r="A23" s="69" t="s">
        <v>119</v>
      </c>
      <c r="B23" s="6">
        <f>'1.Фінансовий результат'!B35</f>
        <v>1080</v>
      </c>
      <c r="C23" s="13">
        <f>'1.Фінансовий результат'!C35</f>
        <v>873.69999999999993</v>
      </c>
      <c r="D23" s="13">
        <f>'1.Фінансовий результат'!D35</f>
        <v>1267.9000000000001</v>
      </c>
      <c r="E23" s="13">
        <f>'1.Фінансовий результат'!E35</f>
        <v>1600.8</v>
      </c>
      <c r="F23" s="13">
        <f>'1.Фінансовий результат'!F35</f>
        <v>2014.2000000000003</v>
      </c>
      <c r="G23" s="13">
        <f>'1.Фінансовий результат'!G35</f>
        <v>2523.3999999999996</v>
      </c>
      <c r="H23" s="166">
        <f>'1.Фінансовий результат'!H35</f>
        <v>2348.3000000000002</v>
      </c>
      <c r="I23" s="13">
        <v>3030.4</v>
      </c>
      <c r="J23" s="13">
        <f>'1.Фінансовий результат'!J35</f>
        <v>5164.7000000000016</v>
      </c>
      <c r="K23" s="13">
        <f>'1.Фінансовий результат'!K35</f>
        <v>977.59999999999991</v>
      </c>
      <c r="L23" s="13">
        <f>'1.Фінансовий результат'!L35</f>
        <v>1357.1000000000001</v>
      </c>
      <c r="M23" s="13">
        <f>'1.Фінансовий результат'!M35</f>
        <v>1408.8</v>
      </c>
      <c r="N23" s="13">
        <f>'1.Фінансовий результат'!N35</f>
        <v>1421.2</v>
      </c>
      <c r="O23" s="208"/>
    </row>
    <row r="24" spans="1:15" ht="25.5" customHeight="1">
      <c r="A24" s="69" t="s">
        <v>116</v>
      </c>
      <c r="B24" s="6">
        <f>'1.Фінансовий результат'!B74</f>
        <v>1110</v>
      </c>
      <c r="C24" s="13">
        <f>'1.Фінансовий результат'!C74</f>
        <v>0</v>
      </c>
      <c r="D24" s="13">
        <f>'1.Фінансовий результат'!D74</f>
        <v>0</v>
      </c>
      <c r="E24" s="13">
        <f>'1.Фінансовий результат'!E74</f>
        <v>0</v>
      </c>
      <c r="F24" s="13">
        <f>'1.Фінансовий результат'!F74</f>
        <v>0</v>
      </c>
      <c r="G24" s="13">
        <f>'1.Фінансовий результат'!G74</f>
        <v>0</v>
      </c>
      <c r="H24" s="166">
        <f>'1.Фінансовий результат'!H74</f>
        <v>0</v>
      </c>
      <c r="I24" s="13">
        <v>0</v>
      </c>
      <c r="J24" s="13">
        <f>'1.Фінансовий результат'!J74</f>
        <v>0</v>
      </c>
      <c r="K24" s="13">
        <f>'1.Фінансовий результат'!K74</f>
        <v>0</v>
      </c>
      <c r="L24" s="13">
        <f>'1.Фінансовий результат'!L74</f>
        <v>0</v>
      </c>
      <c r="M24" s="13">
        <f>'1.Фінансовий результат'!M74</f>
        <v>0</v>
      </c>
      <c r="N24" s="13">
        <f>'1.Фінансовий результат'!N74</f>
        <v>0</v>
      </c>
      <c r="O24" s="208"/>
    </row>
    <row r="25" spans="1:15" ht="25.5" customHeight="1">
      <c r="A25" s="69" t="s">
        <v>14</v>
      </c>
      <c r="B25" s="6">
        <f>'1.Фінансовий результат'!B81</f>
        <v>1120</v>
      </c>
      <c r="C25" s="13">
        <f>'1.Фінансовий результат'!C81</f>
        <v>939.5</v>
      </c>
      <c r="D25" s="13">
        <f>'1.Фінансовий результат'!D81</f>
        <v>1563</v>
      </c>
      <c r="E25" s="13">
        <f>'1.Фінансовий результат'!E81</f>
        <v>2211.7000000000003</v>
      </c>
      <c r="F25" s="13">
        <f>'1.Фінансовий результат'!F81</f>
        <v>2982.7999999999993</v>
      </c>
      <c r="G25" s="13">
        <f>'1.Фінансовий результат'!G81</f>
        <v>3355.9</v>
      </c>
      <c r="H25" s="166">
        <f>'1.Фінансовий результат'!H81</f>
        <v>4957.8</v>
      </c>
      <c r="I25" s="13">
        <v>4317</v>
      </c>
      <c r="J25" s="13">
        <f>'1.Фінансовий результат'!J81</f>
        <v>4317</v>
      </c>
      <c r="K25" s="13">
        <f>'1.Фінансовий результат'!K81</f>
        <v>966.4</v>
      </c>
      <c r="L25" s="13">
        <f>'1.Фінансовий результат'!L81</f>
        <v>1036.5</v>
      </c>
      <c r="M25" s="13">
        <f>'1.Фінансовий результат'!M81</f>
        <v>1118.5</v>
      </c>
      <c r="N25" s="13">
        <f>'1.Фінансовий результат'!N81</f>
        <v>1195.5999999999999</v>
      </c>
      <c r="O25" s="208"/>
    </row>
    <row r="26" spans="1:15" ht="37.5">
      <c r="A26" s="102" t="s">
        <v>257</v>
      </c>
      <c r="B26" s="103">
        <f>'1.Фінансовий результат'!B89</f>
        <v>1130</v>
      </c>
      <c r="C26" s="114">
        <f>'1.Фінансовий результат'!C89</f>
        <v>-590.40000000000066</v>
      </c>
      <c r="D26" s="114">
        <f>'1.Фінансовий результат'!D89</f>
        <v>-1597.9999999999993</v>
      </c>
      <c r="E26" s="114">
        <f>'1.Фінансовий результат'!E89</f>
        <v>-1184.000000000003</v>
      </c>
      <c r="F26" s="114">
        <f>'1.Фінансовий результат'!F89</f>
        <v>-6000.0999999999985</v>
      </c>
      <c r="G26" s="114">
        <f>'1.Фінансовий результат'!G89</f>
        <v>-7958.5</v>
      </c>
      <c r="H26" s="383">
        <f>'1.Фінансовий результат'!H89</f>
        <v>-7589.7000000000016</v>
      </c>
      <c r="I26" s="114">
        <v>-10443.199999999999</v>
      </c>
      <c r="J26" s="114">
        <f>'1.Фінансовий результат'!J89</f>
        <v>-12031.2</v>
      </c>
      <c r="K26" s="114">
        <f>'1.Фінансовий результат'!K89</f>
        <v>-2539.25</v>
      </c>
      <c r="L26" s="114">
        <f>'1.Фінансовий результат'!L89</f>
        <v>-3114.55</v>
      </c>
      <c r="M26" s="114">
        <f>'1.Фінансовий результат'!M89</f>
        <v>-3183.3499999999995</v>
      </c>
      <c r="N26" s="114">
        <f>'1.Фінансовий результат'!N89</f>
        <v>-3194.0499999999993</v>
      </c>
      <c r="O26" s="208"/>
    </row>
    <row r="27" spans="1:15" ht="25.5" customHeight="1">
      <c r="A27" s="64" t="s">
        <v>265</v>
      </c>
      <c r="B27" s="6">
        <f>'1.Фінансовий результат'!B90</f>
        <v>1140</v>
      </c>
      <c r="C27" s="13">
        <f>'1.Фінансовий результат'!C90</f>
        <v>46</v>
      </c>
      <c r="D27" s="13">
        <f>'1.Фінансовий результат'!D90</f>
        <v>340.40000000000003</v>
      </c>
      <c r="E27" s="13">
        <f>'1.Фінансовий результат'!E90</f>
        <v>938.7</v>
      </c>
      <c r="F27" s="13">
        <f>'1.Фінансовий результат'!F90</f>
        <v>5806.4</v>
      </c>
      <c r="G27" s="13">
        <f>'1.Фінансовий результат'!G90</f>
        <v>7967.7</v>
      </c>
      <c r="H27" s="166">
        <f>'1.Фінансовий результат'!H90</f>
        <v>7448.85</v>
      </c>
      <c r="I27" s="13">
        <v>10522.2</v>
      </c>
      <c r="J27" s="13">
        <f>'1.Фінансовий результат'!J90</f>
        <v>12110.2</v>
      </c>
      <c r="K27" s="13">
        <f>'1.Фінансовий результат'!K90</f>
        <v>2573.8000000000002</v>
      </c>
      <c r="L27" s="13">
        <f>'1.Фінансовий результат'!L90</f>
        <v>3132.3</v>
      </c>
      <c r="M27" s="13">
        <f>'1.Фінансовий результат'!M90</f>
        <v>3201.9</v>
      </c>
      <c r="N27" s="13">
        <f>'1.Фінансовий результат'!N90</f>
        <v>3202.2</v>
      </c>
      <c r="O27" s="208"/>
    </row>
    <row r="28" spans="1:15" ht="25.5" customHeight="1">
      <c r="A28" s="64" t="s">
        <v>266</v>
      </c>
      <c r="B28" s="6">
        <f>'1.Фінансовий результат'!B98</f>
        <v>1150</v>
      </c>
      <c r="C28" s="13">
        <f>'1.Фінансовий результат'!C98</f>
        <v>0</v>
      </c>
      <c r="D28" s="13">
        <f>'1.Фінансовий результат'!D98</f>
        <v>0</v>
      </c>
      <c r="E28" s="13">
        <f>'1.Фінансовий результат'!E98</f>
        <v>0</v>
      </c>
      <c r="F28" s="13">
        <f>'1.Фінансовий результат'!F98</f>
        <v>0</v>
      </c>
      <c r="G28" s="13">
        <f>'1.Фінансовий результат'!G98</f>
        <v>0</v>
      </c>
      <c r="H28" s="166">
        <f>'1.Фінансовий результат'!H98</f>
        <v>0</v>
      </c>
      <c r="I28" s="13">
        <v>0</v>
      </c>
      <c r="J28" s="13">
        <f>'1.Фінансовий результат'!J98</f>
        <v>0</v>
      </c>
      <c r="K28" s="13">
        <f>'1.Фінансовий результат'!K98</f>
        <v>0</v>
      </c>
      <c r="L28" s="13">
        <f>'1.Фінансовий результат'!L98</f>
        <v>0</v>
      </c>
      <c r="M28" s="13">
        <f>'1.Фінансовий результат'!M98</f>
        <v>0</v>
      </c>
      <c r="N28" s="13">
        <f>'1.Фінансовий результат'!N98</f>
        <v>0</v>
      </c>
      <c r="O28" s="208"/>
    </row>
    <row r="29" spans="1:15" ht="25.5" customHeight="1">
      <c r="A29" s="69" t="s">
        <v>254</v>
      </c>
      <c r="B29" s="6">
        <f>'1.Фінансовий результат'!B99</f>
        <v>1160</v>
      </c>
      <c r="C29" s="13">
        <f>'1.Фінансовий результат'!C99</f>
        <v>407.8</v>
      </c>
      <c r="D29" s="13">
        <f>'1.Фінансовий результат'!D99</f>
        <v>613.00000000000011</v>
      </c>
      <c r="E29" s="13">
        <f>'1.Фінансовий результат'!E99</f>
        <v>122.1</v>
      </c>
      <c r="F29" s="13">
        <f>'1.Фінансовий результат'!F99</f>
        <v>427.3</v>
      </c>
      <c r="G29" s="13">
        <f>'1.Фінансовий результат'!G99</f>
        <v>214.3</v>
      </c>
      <c r="H29" s="166">
        <f>'1.Фінансовий результат'!H99</f>
        <v>588.1</v>
      </c>
      <c r="I29" s="13">
        <v>300.29999999999995</v>
      </c>
      <c r="J29" s="13">
        <f>'1.Фінансовий результат'!J99</f>
        <v>300.29999999999995</v>
      </c>
      <c r="K29" s="13">
        <f>'1.Фінансовий результат'!K99</f>
        <v>75</v>
      </c>
      <c r="L29" s="13">
        <f>'1.Фінансовий результат'!L99</f>
        <v>75</v>
      </c>
      <c r="M29" s="13">
        <f>'1.Фінансовий результат'!M99</f>
        <v>75.099999999999994</v>
      </c>
      <c r="N29" s="13">
        <f>'1.Фінансовий результат'!N99</f>
        <v>75.199999999999989</v>
      </c>
      <c r="O29" s="208"/>
    </row>
    <row r="30" spans="1:15" ht="25.5" customHeight="1">
      <c r="A30" s="69" t="s">
        <v>255</v>
      </c>
      <c r="B30" s="6">
        <f>'1.Фінансовий результат'!B103</f>
        <v>1170</v>
      </c>
      <c r="C30" s="13">
        <f>'1.Фінансовий результат'!C103</f>
        <v>5.9</v>
      </c>
      <c r="D30" s="13">
        <f>'1.Фінансовий результат'!D103</f>
        <v>131.29999999999998</v>
      </c>
      <c r="E30" s="13">
        <f>'1.Фінансовий результат'!E103</f>
        <v>284.10000000000002</v>
      </c>
      <c r="F30" s="13">
        <f>'1.Фінансовий результат'!F103</f>
        <v>212</v>
      </c>
      <c r="G30" s="13">
        <f>'1.Фінансовий результат'!G103</f>
        <v>223.2</v>
      </c>
      <c r="H30" s="166">
        <f>'1.Фінансовий результат'!H103</f>
        <v>119.8</v>
      </c>
      <c r="I30" s="13">
        <v>294.70000000000005</v>
      </c>
      <c r="J30" s="13">
        <f>'1.Фінансовий результат'!J103</f>
        <v>294.70000000000005</v>
      </c>
      <c r="K30" s="13">
        <f>'1.Фінансовий результат'!K103</f>
        <v>73.7</v>
      </c>
      <c r="L30" s="13">
        <f>'1.Фінансовий результат'!L103</f>
        <v>73.7</v>
      </c>
      <c r="M30" s="13">
        <f>'1.Фінансовий результат'!M103</f>
        <v>73.7</v>
      </c>
      <c r="N30" s="13">
        <f>'1.Фінансовий результат'!N103</f>
        <v>73.600000000000009</v>
      </c>
      <c r="O30" s="208"/>
    </row>
    <row r="31" spans="1:15" ht="37.5">
      <c r="A31" s="71" t="s">
        <v>259</v>
      </c>
      <c r="B31" s="86">
        <f>'1.Фінансовий результат'!B106</f>
        <v>1200</v>
      </c>
      <c r="C31" s="113">
        <f>'1.Фінансовий результат'!C106</f>
        <v>-142.50000000000065</v>
      </c>
      <c r="D31" s="113">
        <f>'1.Фінансовий результат'!D106</f>
        <v>-775.89999999999907</v>
      </c>
      <c r="E31" s="113">
        <f>'1.Фінансовий результат'!E106</f>
        <v>-407.30000000000291</v>
      </c>
      <c r="F31" s="113">
        <f>'1.Фінансовий результат'!F106</f>
        <v>21.600000000001103</v>
      </c>
      <c r="G31" s="113">
        <f>'1.Фінансовий результат'!G106</f>
        <v>0.29999999999984084</v>
      </c>
      <c r="H31" s="204">
        <f>'1.Фінансовий результат'!H106</f>
        <v>327.44999999999874</v>
      </c>
      <c r="I31" s="113">
        <v>84.600000000001728</v>
      </c>
      <c r="J31" s="113">
        <f>'1.Фінансовий результат'!J106</f>
        <v>84.599999999999909</v>
      </c>
      <c r="K31" s="113">
        <f>'1.Фінансовий результат'!K106</f>
        <v>35.850000000000179</v>
      </c>
      <c r="L31" s="113">
        <f>'1.Фінансовий результат'!L106</f>
        <v>19.049999999999997</v>
      </c>
      <c r="M31" s="113">
        <f>'1.Фінансовий результат'!M106</f>
        <v>19.950000000000628</v>
      </c>
      <c r="N31" s="113">
        <f>'1.Фінансовий результат'!N106</f>
        <v>9.7500000000005258</v>
      </c>
      <c r="O31" s="208"/>
    </row>
    <row r="32" spans="1:15" ht="28.5" customHeight="1">
      <c r="A32" s="12" t="s">
        <v>117</v>
      </c>
      <c r="B32" s="6">
        <f>'1.Фінансовий результат'!B107</f>
        <v>1210</v>
      </c>
      <c r="C32" s="13">
        <f>'1.Фінансовий результат'!C107</f>
        <v>0</v>
      </c>
      <c r="D32" s="13">
        <f>'1.Фінансовий результат'!D107</f>
        <v>4.4000000000000004</v>
      </c>
      <c r="E32" s="13">
        <f>'1.Фінансовий результат'!E107</f>
        <v>0</v>
      </c>
      <c r="F32" s="13">
        <f>'1.Фінансовий результат'!F107</f>
        <v>3.3</v>
      </c>
      <c r="G32" s="13">
        <f>'1.Фінансовий результат'!G107</f>
        <v>0</v>
      </c>
      <c r="H32" s="166">
        <f>'1.Фінансовий результат'!H107</f>
        <v>6.4</v>
      </c>
      <c r="I32" s="13">
        <v>12.7</v>
      </c>
      <c r="J32" s="13">
        <f>'1.Фінансовий результат'!J107</f>
        <v>12.7</v>
      </c>
      <c r="K32" s="13">
        <f>'1.Фінансовий результат'!K107</f>
        <v>0</v>
      </c>
      <c r="L32" s="13">
        <f>'1.Фінансовий результат'!L107</f>
        <v>0</v>
      </c>
      <c r="M32" s="13">
        <f>'1.Фінансовий результат'!M107</f>
        <v>0</v>
      </c>
      <c r="N32" s="13">
        <f>'1.Фінансовий результат'!N107</f>
        <v>0</v>
      </c>
      <c r="O32" s="208"/>
    </row>
    <row r="33" spans="1:15" ht="37.5">
      <c r="A33" s="102" t="s">
        <v>260</v>
      </c>
      <c r="B33" s="103">
        <f>'1.Фінансовий результат'!B109</f>
        <v>1230</v>
      </c>
      <c r="C33" s="114">
        <f>'1.Фінансовий результат'!C109</f>
        <v>-142.50000000000065</v>
      </c>
      <c r="D33" s="114">
        <f>'1.Фінансовий результат'!D109</f>
        <v>-780.29999999999905</v>
      </c>
      <c r="E33" s="114">
        <f>'1.Фінансовий результат'!E109</f>
        <v>-407.30000000000291</v>
      </c>
      <c r="F33" s="114">
        <f>'1.Фінансовий результат'!F109</f>
        <v>18.300000000001102</v>
      </c>
      <c r="G33" s="114">
        <f>'1.Фінансовий результат'!G109</f>
        <v>0.29999999999984084</v>
      </c>
      <c r="H33" s="383">
        <f>'1.Фінансовий результат'!H109</f>
        <v>321.04999999999876</v>
      </c>
      <c r="I33" s="114">
        <v>71.900000000001725</v>
      </c>
      <c r="J33" s="114">
        <f>'1.Фінансовий результат'!J109</f>
        <v>71.899999999999906</v>
      </c>
      <c r="K33" s="114">
        <f>'1.Фінансовий результат'!K109</f>
        <v>35.850000000000179</v>
      </c>
      <c r="L33" s="114">
        <f>'1.Фінансовий результат'!L109</f>
        <v>19.049999999999997</v>
      </c>
      <c r="M33" s="114">
        <f>'1.Фінансовий результат'!M109</f>
        <v>19.950000000000628</v>
      </c>
      <c r="N33" s="114">
        <f>'1.Фінансовий результат'!N109</f>
        <v>9.7500000000005258</v>
      </c>
      <c r="O33" s="208"/>
    </row>
    <row r="34" spans="1:15">
      <c r="A34" s="405" t="s">
        <v>128</v>
      </c>
      <c r="B34" s="406"/>
      <c r="C34" s="406"/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7"/>
      <c r="O34" s="208"/>
    </row>
    <row r="35" spans="1:15" ht="37.5">
      <c r="A35" s="68" t="s">
        <v>196</v>
      </c>
      <c r="B35" s="6">
        <f>'2. Розрахунки з бюджетом'!B18</f>
        <v>2100</v>
      </c>
      <c r="C35" s="13">
        <f>'2. Розрахунки з бюджетом'!C18</f>
        <v>0</v>
      </c>
      <c r="D35" s="13">
        <f>'2. Розрахунки з бюджетом'!D18</f>
        <v>0</v>
      </c>
      <c r="E35" s="13">
        <f>'2. Розрахунки з бюджетом'!E18</f>
        <v>0</v>
      </c>
      <c r="F35" s="13">
        <f>'2. Розрахунки з бюджетом'!F18</f>
        <v>0</v>
      </c>
      <c r="G35" s="13">
        <f>'2. Розрахунки з бюджетом'!G18</f>
        <v>0</v>
      </c>
      <c r="H35" s="166">
        <f>'2. Розрахунки з бюджетом'!H18</f>
        <v>0</v>
      </c>
      <c r="I35" s="13">
        <v>0</v>
      </c>
      <c r="J35" s="13">
        <f>'2. Розрахунки з бюджетом'!J18</f>
        <v>0</v>
      </c>
      <c r="K35" s="13">
        <f>'2. Розрахунки з бюджетом'!K18</f>
        <v>0</v>
      </c>
      <c r="L35" s="13">
        <f>'2. Розрахунки з бюджетом'!L18</f>
        <v>0</v>
      </c>
      <c r="M35" s="13">
        <f>'2. Розрахунки з бюджетом'!M18</f>
        <v>0</v>
      </c>
      <c r="N35" s="13">
        <f>'2. Розрахунки з бюджетом'!N18</f>
        <v>0</v>
      </c>
      <c r="O35" s="208"/>
    </row>
    <row r="36" spans="1:15">
      <c r="A36" s="41" t="s">
        <v>127</v>
      </c>
      <c r="B36" s="6">
        <f>'2. Розрахунки з бюджетом'!B19</f>
        <v>2110</v>
      </c>
      <c r="C36" s="13">
        <f>'2. Розрахунки з бюджетом'!C19</f>
        <v>0</v>
      </c>
      <c r="D36" s="13">
        <f>'2. Розрахунки з бюджетом'!D19</f>
        <v>4.4000000000000004</v>
      </c>
      <c r="E36" s="13">
        <f>'2. Розрахунки з бюджетом'!E19</f>
        <v>0</v>
      </c>
      <c r="F36" s="13">
        <f>'2. Розрахунки з бюджетом'!F19</f>
        <v>0</v>
      </c>
      <c r="G36" s="13">
        <f>'2. Розрахунки з бюджетом'!G19</f>
        <v>0</v>
      </c>
      <c r="H36" s="166">
        <f>'2. Розрахунки з бюджетом'!H19</f>
        <v>0</v>
      </c>
      <c r="I36" s="13">
        <v>0</v>
      </c>
      <c r="J36" s="13">
        <f>'2. Розрахунки з бюджетом'!J19</f>
        <v>0</v>
      </c>
      <c r="K36" s="13">
        <f>'2. Розрахунки з бюджетом'!K19</f>
        <v>0</v>
      </c>
      <c r="L36" s="13">
        <f>'2. Розрахунки з бюджетом'!L19</f>
        <v>0</v>
      </c>
      <c r="M36" s="13">
        <f>'2. Розрахунки з бюджетом'!M19</f>
        <v>0</v>
      </c>
      <c r="N36" s="13">
        <f>'2. Розрахунки з бюджетом'!N19</f>
        <v>0</v>
      </c>
      <c r="O36" s="208"/>
    </row>
    <row r="37" spans="1:15" ht="56.25">
      <c r="A37" s="41" t="s">
        <v>229</v>
      </c>
      <c r="B37" s="6">
        <f>'2. Розрахунки з бюджетом'!B20</f>
        <v>2120</v>
      </c>
      <c r="C37" s="13">
        <f>'2. Розрахунки з бюджетом'!C20</f>
        <v>698.6</v>
      </c>
      <c r="D37" s="13">
        <f>'2. Розрахунки з бюджетом'!D20</f>
        <v>1338.7</v>
      </c>
      <c r="E37" s="13">
        <f>'2. Розрахунки з бюджетом'!E20</f>
        <v>1914.7</v>
      </c>
      <c r="F37" s="13">
        <f>'2. Розрахунки з бюджетом'!F20</f>
        <v>2646.9</v>
      </c>
      <c r="G37" s="13">
        <f>'2. Розрахунки з бюджетом'!G20</f>
        <v>2016.1</v>
      </c>
      <c r="H37" s="166">
        <f>'2. Розрахунки з бюджетом'!H20</f>
        <v>3373.4</v>
      </c>
      <c r="I37" s="13">
        <v>3450.5</v>
      </c>
      <c r="J37" s="13">
        <f>'2. Розрахунки з бюджетом'!J20</f>
        <v>4341.2833333333328</v>
      </c>
      <c r="K37" s="13">
        <f>'2. Розрахунки з бюджетом'!K20</f>
        <v>1294.0166666666667</v>
      </c>
      <c r="L37" s="13">
        <f>'2. Розрахунки з бюджетом'!L20</f>
        <v>923.01666666666665</v>
      </c>
      <c r="M37" s="13">
        <f>'2. Розрахунки з бюджетом'!M20</f>
        <v>841.2166666666667</v>
      </c>
      <c r="N37" s="13">
        <f>'2. Розрахунки з бюджетом'!N20</f>
        <v>1283.0333333333333</v>
      </c>
      <c r="O37" s="208"/>
    </row>
    <row r="38" spans="1:15" ht="56.25">
      <c r="A38" s="41" t="s">
        <v>230</v>
      </c>
      <c r="B38" s="6">
        <f>'2. Розрахунки з бюджетом'!B21</f>
        <v>2130</v>
      </c>
      <c r="C38" s="13">
        <f>'2. Розрахунки з бюджетом'!C21</f>
        <v>1850.2</v>
      </c>
      <c r="D38" s="13">
        <f>'2. Розрахунки з бюджетом'!D21</f>
        <v>4069.1</v>
      </c>
      <c r="E38" s="13">
        <f>'2. Розрахунки з бюджетом'!E21</f>
        <v>2703.6000000000004</v>
      </c>
      <c r="F38" s="13">
        <f>'2. Розрахунки з бюджетом'!F21</f>
        <v>5709.3</v>
      </c>
      <c r="G38" s="13">
        <f>'2. Розрахунки з бюджетом'!G21</f>
        <v>3290.1849999999999</v>
      </c>
      <c r="H38" s="166">
        <f>'2. Розрахунки з бюджетом'!H21</f>
        <v>6969.2</v>
      </c>
      <c r="I38" s="13">
        <v>4740.2110000000002</v>
      </c>
      <c r="J38" s="13">
        <f>'2. Розрахунки з бюджетом'!J21</f>
        <v>4740.2110000000002</v>
      </c>
      <c r="K38" s="13">
        <f>'2. Розрахунки з бюджетом'!K21</f>
        <v>1272.627</v>
      </c>
      <c r="L38" s="13">
        <f>'2. Розрахунки з бюджетом'!L21</f>
        <v>1058.5129999999999</v>
      </c>
      <c r="M38" s="13">
        <f>'2. Розрахунки з бюджетом'!M21</f>
        <v>1010.802</v>
      </c>
      <c r="N38" s="13">
        <f>'2. Розрахунки з бюджетом'!N21</f>
        <v>1398.269</v>
      </c>
      <c r="O38" s="208"/>
    </row>
    <row r="39" spans="1:15" ht="56.25">
      <c r="A39" s="68" t="s">
        <v>189</v>
      </c>
      <c r="B39" s="6">
        <f>'2. Розрахунки з бюджетом'!B22</f>
        <v>2140</v>
      </c>
      <c r="C39" s="13">
        <f>'2. Розрахунки з бюджетом'!C22</f>
        <v>168.2</v>
      </c>
      <c r="D39" s="13">
        <f>'2. Розрахунки з бюджетом'!D22</f>
        <v>276.5</v>
      </c>
      <c r="E39" s="13">
        <f>'2. Розрахунки з бюджетом'!E22</f>
        <v>365.7</v>
      </c>
      <c r="F39" s="13">
        <f>'2. Розрахунки з бюджетом'!F22</f>
        <v>451.5</v>
      </c>
      <c r="G39" s="13">
        <f>'2. Розрахунки з бюджетом'!G22</f>
        <v>427.27299999999997</v>
      </c>
      <c r="H39" s="166">
        <f>'2. Розрахунки з бюджетом'!H22</f>
        <v>535.79999999999995</v>
      </c>
      <c r="I39" s="13">
        <v>718.73949999999991</v>
      </c>
      <c r="J39" s="13">
        <f>'2. Розрахунки з бюджетом'!J22</f>
        <v>1212.1860000000001</v>
      </c>
      <c r="K39" s="13">
        <f>'2. Розрахунки з бюджетом'!K22</f>
        <v>223.97400000000002</v>
      </c>
      <c r="L39" s="13">
        <f>'2. Розрахунки з бюджетом'!L22</f>
        <v>319.1925</v>
      </c>
      <c r="M39" s="13">
        <f>'2. Розрахунки з бюджетом'!M22</f>
        <v>332.80349999999999</v>
      </c>
      <c r="N39" s="13">
        <f>'2. Розрахунки з бюджетом'!N22</f>
        <v>336.21600000000001</v>
      </c>
      <c r="O39" s="208"/>
    </row>
    <row r="40" spans="1:15" ht="37.5">
      <c r="A40" s="68" t="s">
        <v>69</v>
      </c>
      <c r="B40" s="6">
        <f>'2. Розрахунки з бюджетом'!B35</f>
        <v>2150</v>
      </c>
      <c r="C40" s="13">
        <f>'2. Розрахунки з бюджетом'!C35</f>
        <v>313.39999999999998</v>
      </c>
      <c r="D40" s="13">
        <f>'2. Розрахунки з бюджетом'!D35</f>
        <v>237.20000000000005</v>
      </c>
      <c r="E40" s="13">
        <f>'2. Розрахунки з бюджетом'!E35</f>
        <v>333.8</v>
      </c>
      <c r="F40" s="13">
        <f>'2. Розрахунки з бюджетом'!F35</f>
        <v>404.4</v>
      </c>
      <c r="G40" s="13">
        <f>'2. Розрахунки з бюджетом'!G35</f>
        <v>453.3</v>
      </c>
      <c r="H40" s="166">
        <f>'2. Розрахунки з бюджетом'!H35</f>
        <v>486.6</v>
      </c>
      <c r="I40" s="13">
        <v>778.2</v>
      </c>
      <c r="J40" s="13">
        <f>'2. Розрахунки з бюджетом'!J35</f>
        <v>1247.6999999999998</v>
      </c>
      <c r="K40" s="13">
        <f>'2. Розрахунки з бюджетом'!K35</f>
        <v>235</v>
      </c>
      <c r="L40" s="13">
        <f>'2. Розрахунки з бюджетом'!L35</f>
        <v>330.29999999999995</v>
      </c>
      <c r="M40" s="13">
        <f>'2. Розрахунки з бюджетом'!M35</f>
        <v>340</v>
      </c>
      <c r="N40" s="13">
        <f>'2. Розрахунки з бюджетом'!N35</f>
        <v>342.4</v>
      </c>
      <c r="O40" s="208"/>
    </row>
    <row r="41" spans="1:15" ht="20.100000000000001" customHeight="1">
      <c r="A41" s="67" t="s">
        <v>197</v>
      </c>
      <c r="B41" s="86">
        <f>'2. Розрахунки з бюджетом'!B36</f>
        <v>2200</v>
      </c>
      <c r="C41" s="113">
        <f>'2. Розрахунки з бюджетом'!C36</f>
        <v>481.59999999999997</v>
      </c>
      <c r="D41" s="113">
        <f>'2. Розрахунки з бюджетом'!D36</f>
        <v>513.70000000000005</v>
      </c>
      <c r="E41" s="113">
        <f>'2. Розрахунки з бюджетом'!E36</f>
        <v>699.5</v>
      </c>
      <c r="F41" s="113">
        <f>'2. Розрахунки з бюджетом'!F36</f>
        <v>855.9</v>
      </c>
      <c r="G41" s="113">
        <f>'2. Розрахунки з бюджетом'!G36</f>
        <v>880.57299999999998</v>
      </c>
      <c r="H41" s="204">
        <f>'2. Розрахунки з бюджетом'!H36</f>
        <v>1022.4</v>
      </c>
      <c r="I41" s="113">
        <v>1496.9395</v>
      </c>
      <c r="J41" s="113">
        <f>'2. Розрахунки з бюджетом'!J36</f>
        <v>2459.886</v>
      </c>
      <c r="K41" s="113">
        <f>'2. Розрахунки з бюджетом'!K36</f>
        <v>458.97400000000005</v>
      </c>
      <c r="L41" s="113">
        <f>'2. Розрахунки з бюджетом'!L36</f>
        <v>649.49249999999995</v>
      </c>
      <c r="M41" s="113">
        <f>'2. Розрахунки з бюджетом'!M36</f>
        <v>672.80349999999999</v>
      </c>
      <c r="N41" s="113">
        <f>'2. Розрахунки з бюджетом'!N36</f>
        <v>678.61599999999999</v>
      </c>
      <c r="O41" s="208"/>
    </row>
    <row r="42" spans="1:15" ht="24.95" hidden="1" customHeight="1" outlineLevel="1">
      <c r="A42" s="405" t="s">
        <v>126</v>
      </c>
      <c r="B42" s="406"/>
      <c r="C42" s="406"/>
      <c r="D42" s="406"/>
      <c r="E42" s="406"/>
      <c r="F42" s="406"/>
      <c r="G42" s="406"/>
      <c r="H42" s="406"/>
      <c r="I42" s="406"/>
      <c r="J42" s="406"/>
      <c r="K42" s="406"/>
      <c r="L42" s="406"/>
      <c r="M42" s="406"/>
      <c r="N42" s="407"/>
      <c r="O42" s="208"/>
    </row>
    <row r="43" spans="1:15" ht="20.100000000000001" hidden="1" customHeight="1" outlineLevel="1">
      <c r="A43" s="67" t="s">
        <v>120</v>
      </c>
      <c r="B43" s="86">
        <f>'3. Рух грошових коштів'!B66</f>
        <v>3600</v>
      </c>
      <c r="C43" s="113">
        <f>'3. Рух грошових коштів'!C66</f>
        <v>0</v>
      </c>
      <c r="D43" s="113"/>
      <c r="E43" s="113"/>
      <c r="F43" s="113"/>
      <c r="G43" s="113"/>
      <c r="H43" s="204"/>
      <c r="I43" s="113"/>
      <c r="J43" s="113">
        <f>'3. Рух грошових коштів'!F66</f>
        <v>0</v>
      </c>
      <c r="K43" s="113">
        <f>'3. Рух грошових коштів'!G66</f>
        <v>0</v>
      </c>
      <c r="L43" s="113">
        <f>'3. Рух грошових коштів'!H66</f>
        <v>0</v>
      </c>
      <c r="M43" s="113">
        <f>'3. Рух грошових коштів'!I66</f>
        <v>0</v>
      </c>
      <c r="N43" s="113">
        <f>'3. Рух грошових коштів'!J66</f>
        <v>0</v>
      </c>
      <c r="O43" s="208"/>
    </row>
    <row r="44" spans="1:15" ht="37.5" hidden="1" outlineLevel="1">
      <c r="A44" s="68" t="s">
        <v>121</v>
      </c>
      <c r="B44" s="6">
        <f>'3. Рух грошових коштів'!B21</f>
        <v>3090</v>
      </c>
      <c r="C44" s="13">
        <f>'3. Рух грошових коштів'!C21</f>
        <v>0</v>
      </c>
      <c r="D44" s="13"/>
      <c r="E44" s="13"/>
      <c r="F44" s="13"/>
      <c r="G44" s="13"/>
      <c r="H44" s="166"/>
      <c r="I44" s="13"/>
      <c r="J44" s="13">
        <f>'3. Рух грошових коштів'!F21</f>
        <v>0</v>
      </c>
      <c r="K44" s="13">
        <f>'3. Рух грошових коштів'!G21</f>
        <v>0</v>
      </c>
      <c r="L44" s="13">
        <f>'3. Рух грошових коштів'!H21</f>
        <v>0</v>
      </c>
      <c r="M44" s="13">
        <f>'3. Рух грошових коштів'!I21</f>
        <v>0</v>
      </c>
      <c r="N44" s="13">
        <f>'3. Рух грошових коштів'!J21</f>
        <v>0</v>
      </c>
      <c r="O44" s="208"/>
    </row>
    <row r="45" spans="1:15" ht="37.5" hidden="1" outlineLevel="1">
      <c r="A45" s="68" t="s">
        <v>183</v>
      </c>
      <c r="B45" s="6">
        <f>'3. Рух грошових коштів'!B38</f>
        <v>3320</v>
      </c>
      <c r="C45" s="13">
        <f>'3. Рух грошових коштів'!C38</f>
        <v>0</v>
      </c>
      <c r="D45" s="13"/>
      <c r="E45" s="13"/>
      <c r="F45" s="13"/>
      <c r="G45" s="13"/>
      <c r="H45" s="166"/>
      <c r="I45" s="13"/>
      <c r="J45" s="13">
        <f>'3. Рух грошових коштів'!F38</f>
        <v>0</v>
      </c>
      <c r="K45" s="13">
        <f>'3. Рух грошових коштів'!G38</f>
        <v>0</v>
      </c>
      <c r="L45" s="13">
        <f>'3. Рух грошових коштів'!H38</f>
        <v>0</v>
      </c>
      <c r="M45" s="13">
        <f>'3. Рух грошових коштів'!I38</f>
        <v>0</v>
      </c>
      <c r="N45" s="13">
        <f>'3. Рух грошових коштів'!J38</f>
        <v>0</v>
      </c>
      <c r="O45" s="208"/>
    </row>
    <row r="46" spans="1:15" ht="37.5" hidden="1" outlineLevel="1">
      <c r="A46" s="68" t="s">
        <v>122</v>
      </c>
      <c r="B46" s="6">
        <f>'3. Рух грошових коштів'!B64</f>
        <v>3580</v>
      </c>
      <c r="C46" s="13">
        <f>'3. Рух грошових коштів'!C64</f>
        <v>0</v>
      </c>
      <c r="D46" s="13"/>
      <c r="E46" s="13"/>
      <c r="F46" s="13"/>
      <c r="G46" s="13"/>
      <c r="H46" s="166"/>
      <c r="I46" s="13"/>
      <c r="J46" s="13">
        <f>'3. Рух грошових коштів'!F64</f>
        <v>0</v>
      </c>
      <c r="K46" s="13">
        <f>'3. Рух грошових коштів'!G64</f>
        <v>0</v>
      </c>
      <c r="L46" s="13">
        <f>'3. Рух грошових коштів'!H64</f>
        <v>0</v>
      </c>
      <c r="M46" s="13">
        <f>'3. Рух грошових коштів'!I64</f>
        <v>0</v>
      </c>
      <c r="N46" s="13">
        <f>'3. Рух грошових коштів'!J64</f>
        <v>0</v>
      </c>
      <c r="O46" s="208"/>
    </row>
    <row r="47" spans="1:15" ht="37.5" hidden="1" outlineLevel="1">
      <c r="A47" s="68" t="s">
        <v>140</v>
      </c>
      <c r="B47" s="6">
        <f>'3. Рух грошових коштів'!B67</f>
        <v>3610</v>
      </c>
      <c r="C47" s="13">
        <f>'3. Рух грошових коштів'!C67</f>
        <v>0</v>
      </c>
      <c r="D47" s="13"/>
      <c r="E47" s="13"/>
      <c r="F47" s="13"/>
      <c r="G47" s="13"/>
      <c r="H47" s="166"/>
      <c r="I47" s="13"/>
      <c r="J47" s="13">
        <f>'3. Рух грошових коштів'!F67</f>
        <v>0</v>
      </c>
      <c r="K47" s="13">
        <f>'3. Рух грошових коштів'!G67</f>
        <v>0</v>
      </c>
      <c r="L47" s="13">
        <f>'3. Рух грошових коштів'!H67</f>
        <v>0</v>
      </c>
      <c r="M47" s="13">
        <f>'3. Рух грошових коштів'!I67</f>
        <v>0</v>
      </c>
      <c r="N47" s="13">
        <f>'3. Рух грошових коштів'!J67</f>
        <v>0</v>
      </c>
      <c r="O47" s="208"/>
    </row>
    <row r="48" spans="1:15" hidden="1" outlineLevel="1">
      <c r="A48" s="67" t="s">
        <v>123</v>
      </c>
      <c r="B48" s="86">
        <f>'3. Рух грошових коштів'!B68</f>
        <v>3620</v>
      </c>
      <c r="C48" s="113">
        <f>'3. Рух грошових коштів'!C68</f>
        <v>0</v>
      </c>
      <c r="D48" s="113"/>
      <c r="E48" s="113"/>
      <c r="F48" s="113"/>
      <c r="G48" s="113"/>
      <c r="H48" s="204"/>
      <c r="I48" s="113"/>
      <c r="J48" s="113">
        <f>'3. Рух грошових коштів'!F68</f>
        <v>0</v>
      </c>
      <c r="K48" s="113">
        <f>'3. Рух грошових коштів'!G68</f>
        <v>0</v>
      </c>
      <c r="L48" s="113">
        <f>'3. Рух грошових коштів'!H68</f>
        <v>0</v>
      </c>
      <c r="M48" s="113">
        <f>'3. Рух грошових коштів'!I68</f>
        <v>0</v>
      </c>
      <c r="N48" s="113">
        <f>'3. Рух грошових коштів'!J68</f>
        <v>0</v>
      </c>
      <c r="O48" s="208"/>
    </row>
    <row r="49" spans="1:15" collapsed="1">
      <c r="A49" s="415" t="s">
        <v>173</v>
      </c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7"/>
      <c r="O49" s="208"/>
    </row>
    <row r="50" spans="1:15" ht="30.75" customHeight="1">
      <c r="A50" s="68" t="s">
        <v>172</v>
      </c>
      <c r="B50" s="6">
        <f>'4. Кап. інвестиції'!B9</f>
        <v>4000</v>
      </c>
      <c r="C50" s="13">
        <f>'4. Кап. інвестиції'!C9</f>
        <v>9767.14</v>
      </c>
      <c r="D50" s="13">
        <f>'4. Кап. інвестиції'!D9</f>
        <v>17754.599999999999</v>
      </c>
      <c r="E50" s="13">
        <f>'4. Кап. інвестиції'!E9</f>
        <v>10943</v>
      </c>
      <c r="F50" s="13">
        <f>'4. Кап. інвестиції'!F9</f>
        <v>25403.7</v>
      </c>
      <c r="G50" s="13">
        <f>'4. Кап. інвестиції'!G9</f>
        <v>31240</v>
      </c>
      <c r="H50" s="166">
        <f>'4. Кап. інвестиції'!H9</f>
        <v>27195.9</v>
      </c>
      <c r="I50" s="13">
        <v>31300</v>
      </c>
      <c r="J50" s="13">
        <f>'4. Кап. інвестиції'!J9</f>
        <v>38317.600000000006</v>
      </c>
      <c r="K50" s="13">
        <f>'4. Кап. інвестиції'!K9</f>
        <v>2472.9</v>
      </c>
      <c r="L50" s="13">
        <f>'4. Кап. інвестиції'!L9</f>
        <v>2150.5</v>
      </c>
      <c r="M50" s="13">
        <f>'4. Кап. інвестиції'!M9</f>
        <v>7241.1</v>
      </c>
      <c r="N50" s="13">
        <f>'4. Кап. інвестиції'!N9</f>
        <v>26453.100000000002</v>
      </c>
      <c r="O50" s="208"/>
    </row>
    <row r="51" spans="1:15" s="5" customFormat="1" ht="24.95" customHeight="1">
      <c r="A51" s="413"/>
      <c r="B51" s="413"/>
      <c r="C51" s="413"/>
      <c r="D51" s="413"/>
      <c r="E51" s="413"/>
      <c r="F51" s="413"/>
      <c r="G51" s="413"/>
      <c r="H51" s="413"/>
      <c r="I51" s="413"/>
      <c r="J51" s="413"/>
      <c r="K51" s="413"/>
      <c r="L51" s="413"/>
      <c r="M51" s="413"/>
      <c r="N51" s="413"/>
    </row>
    <row r="52" spans="1:15" ht="19.5" customHeight="1">
      <c r="A52" s="52" t="s">
        <v>304</v>
      </c>
      <c r="B52" s="1"/>
      <c r="C52" s="411" t="s">
        <v>88</v>
      </c>
      <c r="D52" s="411"/>
      <c r="E52" s="411"/>
      <c r="F52" s="411"/>
      <c r="G52" s="411"/>
      <c r="H52" s="411"/>
      <c r="I52" s="411"/>
      <c r="J52" s="412"/>
      <c r="K52" s="15"/>
      <c r="L52" s="414" t="s">
        <v>305</v>
      </c>
      <c r="M52" s="414"/>
      <c r="N52" s="414"/>
    </row>
    <row r="53" spans="1:15" s="2" customFormat="1" ht="21" customHeight="1">
      <c r="A53" s="25" t="s">
        <v>63</v>
      </c>
      <c r="B53" s="3"/>
      <c r="C53" s="400" t="s">
        <v>64</v>
      </c>
      <c r="D53" s="400"/>
      <c r="E53" s="400"/>
      <c r="F53" s="400"/>
      <c r="G53" s="400"/>
      <c r="H53" s="400"/>
      <c r="I53" s="400"/>
      <c r="J53" s="400"/>
      <c r="K53" s="63"/>
      <c r="L53" s="400" t="s">
        <v>84</v>
      </c>
      <c r="M53" s="400"/>
      <c r="N53" s="400"/>
    </row>
    <row r="55" spans="1:15">
      <c r="A55" s="45" t="s">
        <v>339</v>
      </c>
      <c r="C55" s="136" t="e">
        <f>C33+C32+'1.Фінансовий результат'!C32-'1.Фінансовий результат'!C100+'1.Фінансовий результат'!#REF!</f>
        <v>#REF!</v>
      </c>
      <c r="D55" s="136" t="e">
        <f>D33+D32+'1.Фінансовий результат'!D32-'1.Фінансовий результат'!D100+'1.Фінансовий результат'!#REF!</f>
        <v>#REF!</v>
      </c>
    </row>
    <row r="56" spans="1:15">
      <c r="A56" s="45"/>
    </row>
    <row r="57" spans="1:15">
      <c r="A57" s="45"/>
    </row>
    <row r="58" spans="1:15" s="25" customFormat="1">
      <c r="A58" s="45"/>
      <c r="F58" s="309"/>
      <c r="H58" s="155"/>
      <c r="I58" s="328"/>
      <c r="J58" s="3"/>
      <c r="K58" s="3"/>
      <c r="L58" s="3"/>
      <c r="M58" s="3"/>
      <c r="N58" s="3"/>
    </row>
    <row r="59" spans="1:15" s="25" customFormat="1">
      <c r="A59" s="45"/>
      <c r="F59" s="309"/>
      <c r="H59" s="155"/>
      <c r="I59" s="328"/>
      <c r="J59" s="3"/>
      <c r="K59" s="3"/>
      <c r="L59" s="3"/>
      <c r="M59" s="3"/>
      <c r="N59" s="3"/>
    </row>
    <row r="60" spans="1:15" s="25" customFormat="1">
      <c r="A60" s="45"/>
      <c r="F60" s="309"/>
      <c r="H60" s="155"/>
      <c r="I60" s="328"/>
      <c r="J60" s="3"/>
      <c r="K60" s="3"/>
      <c r="L60" s="3"/>
      <c r="M60" s="3"/>
      <c r="N60" s="3"/>
    </row>
    <row r="61" spans="1:15" s="25" customFormat="1">
      <c r="A61" s="45"/>
      <c r="F61" s="309"/>
      <c r="H61" s="155"/>
      <c r="I61" s="328"/>
      <c r="J61" s="3"/>
      <c r="K61" s="3"/>
      <c r="L61" s="3"/>
      <c r="M61" s="3"/>
      <c r="N61" s="3"/>
    </row>
    <row r="62" spans="1:15" s="25" customFormat="1">
      <c r="A62" s="45"/>
      <c r="F62" s="309"/>
      <c r="H62" s="155"/>
      <c r="I62" s="328"/>
      <c r="J62" s="3"/>
      <c r="K62" s="3"/>
      <c r="L62" s="3"/>
      <c r="M62" s="3"/>
      <c r="N62" s="3"/>
    </row>
    <row r="63" spans="1:15" s="25" customFormat="1">
      <c r="A63" s="45"/>
      <c r="F63" s="309"/>
      <c r="H63" s="155"/>
      <c r="I63" s="328"/>
      <c r="J63" s="3"/>
      <c r="K63" s="3"/>
      <c r="L63" s="3"/>
      <c r="M63" s="3"/>
      <c r="N63" s="3"/>
    </row>
    <row r="64" spans="1:15" s="25" customFormat="1">
      <c r="A64" s="45"/>
      <c r="F64" s="309"/>
      <c r="H64" s="155"/>
      <c r="I64" s="328"/>
      <c r="J64" s="3"/>
      <c r="K64" s="3"/>
      <c r="L64" s="3"/>
      <c r="M64" s="3"/>
      <c r="N64" s="3"/>
    </row>
    <row r="65" spans="1:14" s="25" customFormat="1">
      <c r="A65" s="45"/>
      <c r="F65" s="309"/>
      <c r="H65" s="155"/>
      <c r="I65" s="328"/>
      <c r="J65" s="3"/>
      <c r="K65" s="3"/>
      <c r="L65" s="3"/>
      <c r="M65" s="3"/>
      <c r="N65" s="3"/>
    </row>
    <row r="66" spans="1:14" s="25" customFormat="1">
      <c r="A66" s="45"/>
      <c r="F66" s="309"/>
      <c r="H66" s="155"/>
      <c r="I66" s="328"/>
      <c r="J66" s="3"/>
      <c r="K66" s="3"/>
      <c r="L66" s="3"/>
      <c r="M66" s="3"/>
      <c r="N66" s="3"/>
    </row>
    <row r="67" spans="1:14" s="25" customFormat="1">
      <c r="A67" s="45"/>
      <c r="F67" s="309"/>
      <c r="H67" s="155"/>
      <c r="I67" s="328"/>
      <c r="J67" s="3"/>
      <c r="K67" s="3"/>
      <c r="L67" s="3"/>
      <c r="M67" s="3"/>
      <c r="N67" s="3"/>
    </row>
    <row r="68" spans="1:14" s="25" customFormat="1">
      <c r="A68" s="45"/>
      <c r="F68" s="309"/>
      <c r="H68" s="155"/>
      <c r="I68" s="328"/>
      <c r="J68" s="3"/>
      <c r="K68" s="3"/>
      <c r="L68" s="3"/>
      <c r="M68" s="3"/>
      <c r="N68" s="3"/>
    </row>
    <row r="69" spans="1:14" s="25" customFormat="1">
      <c r="A69" s="45"/>
      <c r="F69" s="309"/>
      <c r="H69" s="155"/>
      <c r="I69" s="328"/>
      <c r="J69" s="3"/>
      <c r="K69" s="3"/>
      <c r="L69" s="3"/>
      <c r="M69" s="3"/>
      <c r="N69" s="3"/>
    </row>
    <row r="70" spans="1:14" s="25" customFormat="1">
      <c r="A70" s="45"/>
      <c r="F70" s="309"/>
      <c r="H70" s="155"/>
      <c r="I70" s="328"/>
      <c r="J70" s="3"/>
      <c r="K70" s="3"/>
      <c r="L70" s="3"/>
      <c r="M70" s="3"/>
      <c r="N70" s="3"/>
    </row>
    <row r="71" spans="1:14" s="25" customFormat="1">
      <c r="A71" s="45"/>
      <c r="F71" s="309"/>
      <c r="H71" s="155"/>
      <c r="I71" s="328"/>
      <c r="J71" s="3"/>
      <c r="K71" s="3"/>
      <c r="L71" s="3"/>
      <c r="M71" s="3"/>
      <c r="N71" s="3"/>
    </row>
    <row r="72" spans="1:14" s="25" customFormat="1">
      <c r="A72" s="45"/>
      <c r="F72" s="309"/>
      <c r="H72" s="155"/>
      <c r="I72" s="328"/>
      <c r="J72" s="3"/>
      <c r="K72" s="3"/>
      <c r="L72" s="3"/>
      <c r="M72" s="3"/>
      <c r="N72" s="3"/>
    </row>
    <row r="73" spans="1:14" s="25" customFormat="1">
      <c r="A73" s="45"/>
      <c r="F73" s="309"/>
      <c r="H73" s="155"/>
      <c r="I73" s="328"/>
      <c r="J73" s="3"/>
      <c r="K73" s="3"/>
      <c r="L73" s="3"/>
      <c r="M73" s="3"/>
      <c r="N73" s="3"/>
    </row>
    <row r="74" spans="1:14" s="25" customFormat="1">
      <c r="A74" s="45"/>
      <c r="F74" s="309"/>
      <c r="H74" s="155"/>
      <c r="I74" s="328"/>
      <c r="J74" s="3"/>
      <c r="K74" s="3"/>
      <c r="L74" s="3"/>
      <c r="M74" s="3"/>
      <c r="N74" s="3"/>
    </row>
    <row r="75" spans="1:14" s="25" customFormat="1">
      <c r="A75" s="45"/>
      <c r="F75" s="309"/>
      <c r="H75" s="155"/>
      <c r="I75" s="328"/>
      <c r="J75" s="3"/>
      <c r="K75" s="3"/>
      <c r="L75" s="3"/>
      <c r="M75" s="3"/>
      <c r="N75" s="3"/>
    </row>
    <row r="76" spans="1:14" s="25" customFormat="1">
      <c r="A76" s="45"/>
      <c r="F76" s="309"/>
      <c r="H76" s="155"/>
      <c r="I76" s="328"/>
      <c r="J76" s="3"/>
      <c r="K76" s="3"/>
      <c r="L76" s="3"/>
      <c r="M76" s="3"/>
      <c r="N76" s="3"/>
    </row>
    <row r="77" spans="1:14" s="25" customFormat="1">
      <c r="A77" s="45"/>
      <c r="F77" s="309"/>
      <c r="H77" s="155"/>
      <c r="I77" s="328"/>
      <c r="J77" s="3"/>
      <c r="K77" s="3"/>
      <c r="L77" s="3"/>
      <c r="M77" s="3"/>
      <c r="N77" s="3"/>
    </row>
    <row r="78" spans="1:14" s="25" customFormat="1">
      <c r="A78" s="45"/>
      <c r="F78" s="309"/>
      <c r="H78" s="155"/>
      <c r="I78" s="328"/>
      <c r="J78" s="3"/>
      <c r="K78" s="3"/>
      <c r="L78" s="3"/>
      <c r="M78" s="3"/>
      <c r="N78" s="3"/>
    </row>
    <row r="79" spans="1:14" s="25" customFormat="1">
      <c r="A79" s="45"/>
      <c r="F79" s="309"/>
      <c r="H79" s="155"/>
      <c r="I79" s="328"/>
      <c r="J79" s="3"/>
      <c r="K79" s="3"/>
      <c r="L79" s="3"/>
      <c r="M79" s="3"/>
      <c r="N79" s="3"/>
    </row>
    <row r="80" spans="1:14" s="25" customFormat="1">
      <c r="A80" s="45"/>
      <c r="F80" s="309"/>
      <c r="H80" s="155"/>
      <c r="I80" s="328"/>
      <c r="J80" s="3"/>
      <c r="K80" s="3"/>
      <c r="L80" s="3"/>
      <c r="M80" s="3"/>
      <c r="N80" s="3"/>
    </row>
    <row r="81" spans="1:14" s="25" customFormat="1">
      <c r="A81" s="45"/>
      <c r="F81" s="309"/>
      <c r="H81" s="155"/>
      <c r="I81" s="328"/>
      <c r="J81" s="3"/>
      <c r="K81" s="3"/>
      <c r="L81" s="3"/>
      <c r="M81" s="3"/>
      <c r="N81" s="3"/>
    </row>
    <row r="82" spans="1:14" s="25" customFormat="1">
      <c r="A82" s="45"/>
      <c r="F82" s="309"/>
      <c r="H82" s="155"/>
      <c r="I82" s="328"/>
      <c r="J82" s="3"/>
      <c r="K82" s="3"/>
      <c r="L82" s="3"/>
      <c r="M82" s="3"/>
      <c r="N82" s="3"/>
    </row>
    <row r="83" spans="1:14" s="25" customFormat="1">
      <c r="A83" s="45"/>
      <c r="F83" s="309"/>
      <c r="H83" s="155"/>
      <c r="I83" s="328"/>
      <c r="J83" s="3"/>
      <c r="K83" s="3"/>
      <c r="L83" s="3"/>
      <c r="M83" s="3"/>
      <c r="N83" s="3"/>
    </row>
    <row r="84" spans="1:14" s="25" customFormat="1">
      <c r="A84" s="45"/>
      <c r="F84" s="309"/>
      <c r="H84" s="155"/>
      <c r="I84" s="328"/>
      <c r="J84" s="3"/>
      <c r="K84" s="3"/>
      <c r="L84" s="3"/>
      <c r="M84" s="3"/>
      <c r="N84" s="3"/>
    </row>
    <row r="85" spans="1:14" s="25" customFormat="1">
      <c r="A85" s="45"/>
      <c r="F85" s="309"/>
      <c r="H85" s="155"/>
      <c r="I85" s="328"/>
      <c r="J85" s="3"/>
      <c r="K85" s="3"/>
      <c r="L85" s="3"/>
      <c r="M85" s="3"/>
      <c r="N85" s="3"/>
    </row>
    <row r="86" spans="1:14" s="25" customFormat="1">
      <c r="A86" s="45"/>
      <c r="F86" s="309"/>
      <c r="H86" s="155"/>
      <c r="I86" s="328"/>
      <c r="J86" s="3"/>
      <c r="K86" s="3"/>
      <c r="L86" s="3"/>
      <c r="M86" s="3"/>
      <c r="N86" s="3"/>
    </row>
    <row r="87" spans="1:14" s="25" customFormat="1">
      <c r="A87" s="45"/>
      <c r="F87" s="309"/>
      <c r="H87" s="155"/>
      <c r="I87" s="328"/>
      <c r="J87" s="3"/>
      <c r="K87" s="3"/>
      <c r="L87" s="3"/>
      <c r="M87" s="3"/>
      <c r="N87" s="3"/>
    </row>
    <row r="88" spans="1:14" s="25" customFormat="1">
      <c r="A88" s="45"/>
      <c r="F88" s="309"/>
      <c r="H88" s="155"/>
      <c r="I88" s="328"/>
      <c r="J88" s="3"/>
      <c r="K88" s="3"/>
      <c r="L88" s="3"/>
      <c r="M88" s="3"/>
      <c r="N88" s="3"/>
    </row>
    <row r="89" spans="1:14" s="25" customFormat="1">
      <c r="A89" s="45"/>
      <c r="F89" s="309"/>
      <c r="H89" s="155"/>
      <c r="I89" s="328"/>
      <c r="J89" s="3"/>
      <c r="K89" s="3"/>
      <c r="L89" s="3"/>
      <c r="M89" s="3"/>
      <c r="N89" s="3"/>
    </row>
    <row r="90" spans="1:14" s="25" customFormat="1">
      <c r="A90" s="45"/>
      <c r="F90" s="309"/>
      <c r="H90" s="155"/>
      <c r="I90" s="328"/>
      <c r="J90" s="3"/>
      <c r="K90" s="3"/>
      <c r="L90" s="3"/>
      <c r="M90" s="3"/>
      <c r="N90" s="3"/>
    </row>
    <row r="91" spans="1:14" s="25" customFormat="1">
      <c r="A91" s="45"/>
      <c r="F91" s="309"/>
      <c r="H91" s="155"/>
      <c r="I91" s="328"/>
      <c r="J91" s="3"/>
      <c r="K91" s="3"/>
      <c r="L91" s="3"/>
      <c r="M91" s="3"/>
      <c r="N91" s="3"/>
    </row>
    <row r="92" spans="1:14" s="25" customFormat="1">
      <c r="A92" s="45"/>
      <c r="F92" s="309"/>
      <c r="H92" s="155"/>
      <c r="I92" s="328"/>
      <c r="J92" s="3"/>
      <c r="K92" s="3"/>
      <c r="L92" s="3"/>
      <c r="M92" s="3"/>
      <c r="N92" s="3"/>
    </row>
    <row r="93" spans="1:14" s="25" customFormat="1">
      <c r="A93" s="45"/>
      <c r="F93" s="309"/>
      <c r="H93" s="155"/>
      <c r="I93" s="328"/>
      <c r="J93" s="3"/>
      <c r="K93" s="3"/>
      <c r="L93" s="3"/>
      <c r="M93" s="3"/>
      <c r="N93" s="3"/>
    </row>
    <row r="94" spans="1:14" s="25" customFormat="1">
      <c r="A94" s="45"/>
      <c r="F94" s="309"/>
      <c r="H94" s="155"/>
      <c r="I94" s="328"/>
      <c r="J94" s="3"/>
      <c r="K94" s="3"/>
      <c r="L94" s="3"/>
      <c r="M94" s="3"/>
      <c r="N94" s="3"/>
    </row>
    <row r="95" spans="1:14" s="25" customFormat="1">
      <c r="A95" s="45"/>
      <c r="F95" s="309"/>
      <c r="H95" s="155"/>
      <c r="I95" s="328"/>
      <c r="J95" s="3"/>
      <c r="K95" s="3"/>
      <c r="L95" s="3"/>
      <c r="M95" s="3"/>
      <c r="N95" s="3"/>
    </row>
    <row r="96" spans="1:14" s="25" customFormat="1">
      <c r="A96" s="45"/>
      <c r="F96" s="309"/>
      <c r="H96" s="155"/>
      <c r="I96" s="328"/>
      <c r="J96" s="3"/>
      <c r="K96" s="3"/>
      <c r="L96" s="3"/>
      <c r="M96" s="3"/>
      <c r="N96" s="3"/>
    </row>
    <row r="97" spans="1:14" s="25" customFormat="1">
      <c r="A97" s="45"/>
      <c r="F97" s="309"/>
      <c r="H97" s="155"/>
      <c r="I97" s="328"/>
      <c r="J97" s="3"/>
      <c r="K97" s="3"/>
      <c r="L97" s="3"/>
      <c r="M97" s="3"/>
      <c r="N97" s="3"/>
    </row>
    <row r="98" spans="1:14" s="25" customFormat="1">
      <c r="A98" s="45"/>
      <c r="F98" s="309"/>
      <c r="H98" s="155"/>
      <c r="I98" s="328"/>
      <c r="J98" s="3"/>
      <c r="K98" s="3"/>
      <c r="L98" s="3"/>
      <c r="M98" s="3"/>
      <c r="N98" s="3"/>
    </row>
    <row r="99" spans="1:14" s="25" customFormat="1">
      <c r="A99" s="45"/>
      <c r="F99" s="309"/>
      <c r="H99" s="155"/>
      <c r="I99" s="328"/>
      <c r="J99" s="3"/>
      <c r="K99" s="3"/>
      <c r="L99" s="3"/>
      <c r="M99" s="3"/>
      <c r="N99" s="3"/>
    </row>
    <row r="100" spans="1:14" s="25" customFormat="1">
      <c r="A100" s="45"/>
      <c r="F100" s="309"/>
      <c r="H100" s="155"/>
      <c r="I100" s="328"/>
      <c r="J100" s="3"/>
      <c r="K100" s="3"/>
      <c r="L100" s="3"/>
      <c r="M100" s="3"/>
      <c r="N100" s="3"/>
    </row>
    <row r="101" spans="1:14" s="25" customFormat="1">
      <c r="A101" s="45"/>
      <c r="F101" s="309"/>
      <c r="H101" s="155"/>
      <c r="I101" s="328"/>
      <c r="J101" s="3"/>
      <c r="K101" s="3"/>
      <c r="L101" s="3"/>
      <c r="M101" s="3"/>
      <c r="N101" s="3"/>
    </row>
    <row r="102" spans="1:14" s="25" customFormat="1">
      <c r="A102" s="45"/>
      <c r="F102" s="309"/>
      <c r="H102" s="155"/>
      <c r="I102" s="328"/>
      <c r="J102" s="3"/>
      <c r="K102" s="3"/>
      <c r="L102" s="3"/>
      <c r="M102" s="3"/>
      <c r="N102" s="3"/>
    </row>
    <row r="103" spans="1:14" s="25" customFormat="1">
      <c r="A103" s="45"/>
      <c r="F103" s="309"/>
      <c r="H103" s="155"/>
      <c r="I103" s="328"/>
      <c r="J103" s="3"/>
      <c r="K103" s="3"/>
      <c r="L103" s="3"/>
      <c r="M103" s="3"/>
      <c r="N103" s="3"/>
    </row>
    <row r="104" spans="1:14" s="25" customFormat="1">
      <c r="A104" s="45"/>
      <c r="F104" s="309"/>
      <c r="H104" s="155"/>
      <c r="I104" s="328"/>
      <c r="J104" s="3"/>
      <c r="K104" s="3"/>
      <c r="L104" s="3"/>
      <c r="M104" s="3"/>
      <c r="N104" s="3"/>
    </row>
    <row r="105" spans="1:14" s="25" customFormat="1">
      <c r="A105" s="45"/>
      <c r="F105" s="309"/>
      <c r="H105" s="155"/>
      <c r="I105" s="328"/>
      <c r="J105" s="3"/>
      <c r="K105" s="3"/>
      <c r="L105" s="3"/>
      <c r="M105" s="3"/>
      <c r="N105" s="3"/>
    </row>
    <row r="106" spans="1:14" s="25" customFormat="1">
      <c r="A106" s="45"/>
      <c r="F106" s="309"/>
      <c r="H106" s="155"/>
      <c r="I106" s="328"/>
      <c r="J106" s="3"/>
      <c r="K106" s="3"/>
      <c r="L106" s="3"/>
      <c r="M106" s="3"/>
      <c r="N106" s="3"/>
    </row>
    <row r="107" spans="1:14" s="25" customFormat="1">
      <c r="A107" s="45"/>
      <c r="F107" s="309"/>
      <c r="H107" s="155"/>
      <c r="I107" s="328"/>
      <c r="J107" s="3"/>
      <c r="K107" s="3"/>
      <c r="L107" s="3"/>
      <c r="M107" s="3"/>
      <c r="N107" s="3"/>
    </row>
    <row r="108" spans="1:14" s="25" customFormat="1">
      <c r="A108" s="45"/>
      <c r="F108" s="309"/>
      <c r="H108" s="155"/>
      <c r="I108" s="328"/>
      <c r="J108" s="3"/>
      <c r="K108" s="3"/>
      <c r="L108" s="3"/>
      <c r="M108" s="3"/>
      <c r="N108" s="3"/>
    </row>
    <row r="109" spans="1:14" s="25" customFormat="1">
      <c r="A109" s="45"/>
      <c r="F109" s="309"/>
      <c r="H109" s="155"/>
      <c r="I109" s="328"/>
      <c r="J109" s="3"/>
      <c r="K109" s="3"/>
      <c r="L109" s="3"/>
      <c r="M109" s="3"/>
      <c r="N109" s="3"/>
    </row>
    <row r="110" spans="1:14" s="25" customFormat="1">
      <c r="A110" s="45"/>
      <c r="F110" s="309"/>
      <c r="H110" s="155"/>
      <c r="I110" s="328"/>
      <c r="J110" s="3"/>
      <c r="K110" s="3"/>
      <c r="L110" s="3"/>
      <c r="M110" s="3"/>
      <c r="N110" s="3"/>
    </row>
    <row r="111" spans="1:14" s="25" customFormat="1">
      <c r="A111" s="45"/>
      <c r="F111" s="309"/>
      <c r="H111" s="155"/>
      <c r="I111" s="328"/>
      <c r="J111" s="3"/>
      <c r="K111" s="3"/>
      <c r="L111" s="3"/>
      <c r="M111" s="3"/>
      <c r="N111" s="3"/>
    </row>
    <row r="112" spans="1:14" s="25" customFormat="1">
      <c r="A112" s="45"/>
      <c r="F112" s="309"/>
      <c r="H112" s="155"/>
      <c r="I112" s="328"/>
      <c r="J112" s="3"/>
      <c r="K112" s="3"/>
      <c r="L112" s="3"/>
      <c r="M112" s="3"/>
      <c r="N112" s="3"/>
    </row>
    <row r="113" spans="1:14" s="25" customFormat="1">
      <c r="A113" s="45"/>
      <c r="F113" s="309"/>
      <c r="H113" s="155"/>
      <c r="I113" s="328"/>
      <c r="J113" s="3"/>
      <c r="K113" s="3"/>
      <c r="L113" s="3"/>
      <c r="M113" s="3"/>
      <c r="N113" s="3"/>
    </row>
    <row r="114" spans="1:14" s="25" customFormat="1">
      <c r="A114" s="45"/>
      <c r="F114" s="309"/>
      <c r="H114" s="155"/>
      <c r="I114" s="328"/>
      <c r="J114" s="3"/>
      <c r="K114" s="3"/>
      <c r="L114" s="3"/>
      <c r="M114" s="3"/>
      <c r="N114" s="3"/>
    </row>
    <row r="115" spans="1:14" s="25" customFormat="1">
      <c r="A115" s="45"/>
      <c r="F115" s="309"/>
      <c r="H115" s="155"/>
      <c r="I115" s="328"/>
      <c r="J115" s="3"/>
      <c r="K115" s="3"/>
      <c r="L115" s="3"/>
      <c r="M115" s="3"/>
      <c r="N115" s="3"/>
    </row>
    <row r="116" spans="1:14" s="25" customFormat="1">
      <c r="A116" s="45"/>
      <c r="F116" s="309"/>
      <c r="H116" s="155"/>
      <c r="I116" s="328"/>
      <c r="J116" s="3"/>
      <c r="K116" s="3"/>
      <c r="L116" s="3"/>
      <c r="M116" s="3"/>
      <c r="N116" s="3"/>
    </row>
    <row r="117" spans="1:14" s="25" customFormat="1">
      <c r="A117" s="45"/>
      <c r="F117" s="309"/>
      <c r="H117" s="155"/>
      <c r="I117" s="328"/>
      <c r="J117" s="3"/>
      <c r="K117" s="3"/>
      <c r="L117" s="3"/>
      <c r="M117" s="3"/>
      <c r="N117" s="3"/>
    </row>
    <row r="118" spans="1:14" s="25" customFormat="1">
      <c r="A118" s="45"/>
      <c r="F118" s="309"/>
      <c r="H118" s="155"/>
      <c r="I118" s="328"/>
      <c r="J118" s="3"/>
      <c r="K118" s="3"/>
      <c r="L118" s="3"/>
      <c r="M118" s="3"/>
      <c r="N118" s="3"/>
    </row>
    <row r="119" spans="1:14" s="25" customFormat="1">
      <c r="A119" s="45"/>
      <c r="F119" s="309"/>
      <c r="H119" s="155"/>
      <c r="I119" s="328"/>
      <c r="J119" s="3"/>
      <c r="K119" s="3"/>
      <c r="L119" s="3"/>
      <c r="M119" s="3"/>
      <c r="N119" s="3"/>
    </row>
    <row r="120" spans="1:14" s="25" customFormat="1">
      <c r="A120" s="45"/>
      <c r="F120" s="309"/>
      <c r="H120" s="155"/>
      <c r="I120" s="328"/>
      <c r="J120" s="3"/>
      <c r="K120" s="3"/>
      <c r="L120" s="3"/>
      <c r="M120" s="3"/>
      <c r="N120" s="3"/>
    </row>
    <row r="121" spans="1:14" s="25" customFormat="1">
      <c r="A121" s="45"/>
      <c r="F121" s="309"/>
      <c r="H121" s="155"/>
      <c r="I121" s="328"/>
      <c r="J121" s="3"/>
      <c r="K121" s="3"/>
      <c r="L121" s="3"/>
      <c r="M121" s="3"/>
      <c r="N121" s="3"/>
    </row>
    <row r="122" spans="1:14" s="25" customFormat="1">
      <c r="A122" s="45"/>
      <c r="F122" s="309"/>
      <c r="H122" s="155"/>
      <c r="I122" s="328"/>
      <c r="J122" s="3"/>
      <c r="K122" s="3"/>
      <c r="L122" s="3"/>
      <c r="M122" s="3"/>
      <c r="N122" s="3"/>
    </row>
    <row r="123" spans="1:14" s="25" customFormat="1">
      <c r="A123" s="45"/>
      <c r="F123" s="309"/>
      <c r="H123" s="155"/>
      <c r="I123" s="328"/>
      <c r="J123" s="3"/>
      <c r="K123" s="3"/>
      <c r="L123" s="3"/>
      <c r="M123" s="3"/>
      <c r="N123" s="3"/>
    </row>
    <row r="124" spans="1:14" s="25" customFormat="1">
      <c r="A124" s="45"/>
      <c r="F124" s="309"/>
      <c r="H124" s="155"/>
      <c r="I124" s="328"/>
      <c r="J124" s="3"/>
      <c r="K124" s="3"/>
      <c r="L124" s="3"/>
      <c r="M124" s="3"/>
      <c r="N124" s="3"/>
    </row>
    <row r="125" spans="1:14" s="25" customFormat="1">
      <c r="A125" s="45"/>
      <c r="F125" s="309"/>
      <c r="H125" s="155"/>
      <c r="I125" s="328"/>
      <c r="J125" s="3"/>
      <c r="K125" s="3"/>
      <c r="L125" s="3"/>
      <c r="M125" s="3"/>
      <c r="N125" s="3"/>
    </row>
    <row r="126" spans="1:14" s="25" customFormat="1">
      <c r="A126" s="45"/>
      <c r="F126" s="309"/>
      <c r="H126" s="155"/>
      <c r="I126" s="328"/>
      <c r="J126" s="3"/>
      <c r="K126" s="3"/>
      <c r="L126" s="3"/>
      <c r="M126" s="3"/>
      <c r="N126" s="3"/>
    </row>
    <row r="127" spans="1:14" s="25" customFormat="1">
      <c r="A127" s="45"/>
      <c r="F127" s="309"/>
      <c r="H127" s="155"/>
      <c r="I127" s="328"/>
      <c r="J127" s="3"/>
      <c r="K127" s="3"/>
      <c r="L127" s="3"/>
      <c r="M127" s="3"/>
      <c r="N127" s="3"/>
    </row>
    <row r="128" spans="1:14" s="25" customFormat="1">
      <c r="A128" s="45"/>
      <c r="F128" s="309"/>
      <c r="H128" s="155"/>
      <c r="I128" s="328"/>
      <c r="J128" s="3"/>
      <c r="K128" s="3"/>
      <c r="L128" s="3"/>
      <c r="M128" s="3"/>
      <c r="N128" s="3"/>
    </row>
    <row r="129" spans="1:14" s="25" customFormat="1">
      <c r="A129" s="45"/>
      <c r="F129" s="309"/>
      <c r="H129" s="155"/>
      <c r="I129" s="328"/>
      <c r="J129" s="3"/>
      <c r="K129" s="3"/>
      <c r="L129" s="3"/>
      <c r="M129" s="3"/>
      <c r="N129" s="3"/>
    </row>
    <row r="130" spans="1:14" s="25" customFormat="1">
      <c r="A130" s="45"/>
      <c r="F130" s="309"/>
      <c r="H130" s="155"/>
      <c r="I130" s="328"/>
      <c r="J130" s="3"/>
      <c r="K130" s="3"/>
      <c r="L130" s="3"/>
      <c r="M130" s="3"/>
      <c r="N130" s="3"/>
    </row>
    <row r="131" spans="1:14" s="25" customFormat="1">
      <c r="A131" s="45"/>
      <c r="F131" s="309"/>
      <c r="H131" s="155"/>
      <c r="I131" s="328"/>
      <c r="J131" s="3"/>
      <c r="K131" s="3"/>
      <c r="L131" s="3"/>
      <c r="M131" s="3"/>
      <c r="N131" s="3"/>
    </row>
    <row r="132" spans="1:14" s="25" customFormat="1">
      <c r="A132" s="45"/>
      <c r="F132" s="309"/>
      <c r="H132" s="155"/>
      <c r="I132" s="328"/>
      <c r="J132" s="3"/>
      <c r="K132" s="3"/>
      <c r="L132" s="3"/>
      <c r="M132" s="3"/>
      <c r="N132" s="3"/>
    </row>
    <row r="133" spans="1:14" s="25" customFormat="1">
      <c r="A133" s="45"/>
      <c r="F133" s="309"/>
      <c r="H133" s="155"/>
      <c r="I133" s="328"/>
      <c r="J133" s="3"/>
      <c r="K133" s="3"/>
      <c r="L133" s="3"/>
      <c r="M133" s="3"/>
      <c r="N133" s="3"/>
    </row>
    <row r="134" spans="1:14" s="25" customFormat="1">
      <c r="A134" s="45"/>
      <c r="F134" s="309"/>
      <c r="H134" s="155"/>
      <c r="I134" s="328"/>
      <c r="J134" s="3"/>
      <c r="K134" s="3"/>
      <c r="L134" s="3"/>
      <c r="M134" s="3"/>
      <c r="N134" s="3"/>
    </row>
    <row r="135" spans="1:14" s="25" customFormat="1">
      <c r="A135" s="45"/>
      <c r="F135" s="309"/>
      <c r="H135" s="155"/>
      <c r="I135" s="328"/>
      <c r="J135" s="3"/>
      <c r="K135" s="3"/>
      <c r="L135" s="3"/>
      <c r="M135" s="3"/>
      <c r="N135" s="3"/>
    </row>
    <row r="136" spans="1:14" s="25" customFormat="1">
      <c r="A136" s="45"/>
      <c r="F136" s="309"/>
      <c r="H136" s="155"/>
      <c r="I136" s="328"/>
      <c r="J136" s="3"/>
      <c r="K136" s="3"/>
      <c r="L136" s="3"/>
      <c r="M136" s="3"/>
      <c r="N136" s="3"/>
    </row>
    <row r="137" spans="1:14" s="25" customFormat="1">
      <c r="A137" s="45"/>
      <c r="F137" s="309"/>
      <c r="H137" s="155"/>
      <c r="I137" s="328"/>
      <c r="J137" s="3"/>
      <c r="K137" s="3"/>
      <c r="L137" s="3"/>
      <c r="M137" s="3"/>
      <c r="N137" s="3"/>
    </row>
    <row r="138" spans="1:14" s="25" customFormat="1">
      <c r="A138" s="45"/>
      <c r="F138" s="309"/>
      <c r="H138" s="155"/>
      <c r="I138" s="328"/>
      <c r="J138" s="3"/>
      <c r="K138" s="3"/>
      <c r="L138" s="3"/>
      <c r="M138" s="3"/>
      <c r="N138" s="3"/>
    </row>
    <row r="139" spans="1:14" s="25" customFormat="1">
      <c r="A139" s="45"/>
      <c r="F139" s="309"/>
      <c r="H139" s="155"/>
      <c r="I139" s="328"/>
      <c r="J139" s="3"/>
      <c r="K139" s="3"/>
      <c r="L139" s="3"/>
      <c r="M139" s="3"/>
      <c r="N139" s="3"/>
    </row>
    <row r="140" spans="1:14" s="25" customFormat="1">
      <c r="A140" s="45"/>
      <c r="F140" s="309"/>
      <c r="H140" s="155"/>
      <c r="I140" s="328"/>
      <c r="J140" s="3"/>
      <c r="K140" s="3"/>
      <c r="L140" s="3"/>
      <c r="M140" s="3"/>
      <c r="N140" s="3"/>
    </row>
    <row r="141" spans="1:14" s="25" customFormat="1">
      <c r="A141" s="45"/>
      <c r="F141" s="309"/>
      <c r="H141" s="155"/>
      <c r="I141" s="328"/>
      <c r="J141" s="3"/>
      <c r="K141" s="3"/>
      <c r="L141" s="3"/>
      <c r="M141" s="3"/>
      <c r="N141" s="3"/>
    </row>
    <row r="142" spans="1:14" s="25" customFormat="1">
      <c r="A142" s="45"/>
      <c r="F142" s="309"/>
      <c r="H142" s="155"/>
      <c r="I142" s="328"/>
      <c r="J142" s="3"/>
      <c r="K142" s="3"/>
      <c r="L142" s="3"/>
      <c r="M142" s="3"/>
      <c r="N142" s="3"/>
    </row>
    <row r="143" spans="1:14" s="25" customFormat="1">
      <c r="A143" s="45"/>
      <c r="F143" s="309"/>
      <c r="H143" s="155"/>
      <c r="I143" s="328"/>
      <c r="J143" s="3"/>
      <c r="K143" s="3"/>
      <c r="L143" s="3"/>
      <c r="M143" s="3"/>
      <c r="N143" s="3"/>
    </row>
    <row r="144" spans="1:14" s="25" customFormat="1">
      <c r="A144" s="45"/>
      <c r="F144" s="309"/>
      <c r="H144" s="155"/>
      <c r="I144" s="328"/>
      <c r="J144" s="3"/>
      <c r="K144" s="3"/>
      <c r="L144" s="3"/>
      <c r="M144" s="3"/>
      <c r="N144" s="3"/>
    </row>
    <row r="145" spans="1:14" s="25" customFormat="1">
      <c r="A145" s="45"/>
      <c r="F145" s="309"/>
      <c r="H145" s="155"/>
      <c r="I145" s="328"/>
      <c r="J145" s="3"/>
      <c r="K145" s="3"/>
      <c r="L145" s="3"/>
      <c r="M145" s="3"/>
      <c r="N145" s="3"/>
    </row>
    <row r="146" spans="1:14" s="25" customFormat="1">
      <c r="A146" s="45"/>
      <c r="F146" s="309"/>
      <c r="H146" s="155"/>
      <c r="I146" s="328"/>
      <c r="J146" s="3"/>
      <c r="K146" s="3"/>
      <c r="L146" s="3"/>
      <c r="M146" s="3"/>
      <c r="N146" s="3"/>
    </row>
    <row r="147" spans="1:14" s="25" customFormat="1">
      <c r="A147" s="45"/>
      <c r="F147" s="309"/>
      <c r="H147" s="155"/>
      <c r="I147" s="328"/>
      <c r="J147" s="3"/>
      <c r="K147" s="3"/>
      <c r="L147" s="3"/>
      <c r="M147" s="3"/>
      <c r="N147" s="3"/>
    </row>
    <row r="148" spans="1:14" s="25" customFormat="1">
      <c r="A148" s="45"/>
      <c r="F148" s="309"/>
      <c r="H148" s="155"/>
      <c r="I148" s="328"/>
      <c r="J148" s="3"/>
      <c r="K148" s="3"/>
      <c r="L148" s="3"/>
      <c r="M148" s="3"/>
      <c r="N148" s="3"/>
    </row>
    <row r="149" spans="1:14" s="25" customFormat="1">
      <c r="A149" s="45"/>
      <c r="F149" s="309"/>
      <c r="H149" s="155"/>
      <c r="I149" s="328"/>
      <c r="J149" s="3"/>
      <c r="K149" s="3"/>
      <c r="L149" s="3"/>
      <c r="M149" s="3"/>
      <c r="N149" s="3"/>
    </row>
    <row r="150" spans="1:14" s="25" customFormat="1">
      <c r="A150" s="45"/>
      <c r="F150" s="309"/>
      <c r="H150" s="155"/>
      <c r="I150" s="328"/>
      <c r="J150" s="3"/>
      <c r="K150" s="3"/>
      <c r="L150" s="3"/>
      <c r="M150" s="3"/>
      <c r="N150" s="3"/>
    </row>
    <row r="151" spans="1:14" s="25" customFormat="1">
      <c r="A151" s="45"/>
      <c r="F151" s="309"/>
      <c r="H151" s="155"/>
      <c r="I151" s="328"/>
      <c r="J151" s="3"/>
      <c r="K151" s="3"/>
      <c r="L151" s="3"/>
      <c r="M151" s="3"/>
      <c r="N151" s="3"/>
    </row>
    <row r="152" spans="1:14" s="25" customFormat="1">
      <c r="A152" s="45"/>
      <c r="F152" s="309"/>
      <c r="H152" s="155"/>
      <c r="I152" s="328"/>
      <c r="J152" s="3"/>
      <c r="K152" s="3"/>
      <c r="L152" s="3"/>
      <c r="M152" s="3"/>
      <c r="N152" s="3"/>
    </row>
    <row r="153" spans="1:14" s="25" customFormat="1">
      <c r="A153" s="45"/>
      <c r="F153" s="309"/>
      <c r="H153" s="155"/>
      <c r="I153" s="328"/>
      <c r="J153" s="3"/>
      <c r="K153" s="3"/>
      <c r="L153" s="3"/>
      <c r="M153" s="3"/>
      <c r="N153" s="3"/>
    </row>
    <row r="154" spans="1:14" s="25" customFormat="1">
      <c r="A154" s="45"/>
      <c r="F154" s="309"/>
      <c r="H154" s="155"/>
      <c r="I154" s="328"/>
      <c r="J154" s="3"/>
      <c r="K154" s="3"/>
      <c r="L154" s="3"/>
      <c r="M154" s="3"/>
      <c r="N154" s="3"/>
    </row>
    <row r="155" spans="1:14" s="25" customFormat="1">
      <c r="A155" s="45"/>
      <c r="F155" s="309"/>
      <c r="H155" s="155"/>
      <c r="I155" s="328"/>
      <c r="J155" s="3"/>
      <c r="K155" s="3"/>
      <c r="L155" s="3"/>
      <c r="M155" s="3"/>
      <c r="N155" s="3"/>
    </row>
    <row r="156" spans="1:14" s="25" customFormat="1">
      <c r="A156" s="45"/>
      <c r="F156" s="309"/>
      <c r="H156" s="155"/>
      <c r="I156" s="328"/>
      <c r="J156" s="3"/>
      <c r="K156" s="3"/>
      <c r="L156" s="3"/>
      <c r="M156" s="3"/>
      <c r="N156" s="3"/>
    </row>
    <row r="157" spans="1:14" s="25" customFormat="1">
      <c r="A157" s="45"/>
      <c r="F157" s="309"/>
      <c r="H157" s="155"/>
      <c r="I157" s="328"/>
      <c r="J157" s="3"/>
      <c r="K157" s="3"/>
      <c r="L157" s="3"/>
      <c r="M157" s="3"/>
      <c r="N157" s="3"/>
    </row>
    <row r="158" spans="1:14" s="25" customFormat="1">
      <c r="A158" s="45"/>
      <c r="F158" s="309"/>
      <c r="H158" s="155"/>
      <c r="I158" s="328"/>
      <c r="J158" s="3"/>
      <c r="K158" s="3"/>
      <c r="L158" s="3"/>
      <c r="M158" s="3"/>
      <c r="N158" s="3"/>
    </row>
    <row r="159" spans="1:14" s="25" customFormat="1">
      <c r="A159" s="45"/>
      <c r="F159" s="309"/>
      <c r="H159" s="155"/>
      <c r="I159" s="328"/>
      <c r="J159" s="3"/>
      <c r="K159" s="3"/>
      <c r="L159" s="3"/>
      <c r="M159" s="3"/>
      <c r="N159" s="3"/>
    </row>
    <row r="160" spans="1:14" s="25" customFormat="1">
      <c r="A160" s="45"/>
      <c r="F160" s="309"/>
      <c r="H160" s="155"/>
      <c r="I160" s="328"/>
      <c r="J160" s="3"/>
      <c r="K160" s="3"/>
      <c r="L160" s="3"/>
      <c r="M160" s="3"/>
      <c r="N160" s="3"/>
    </row>
    <row r="161" spans="1:14" s="25" customFormat="1">
      <c r="A161" s="45"/>
      <c r="F161" s="309"/>
      <c r="H161" s="155"/>
      <c r="I161" s="328"/>
      <c r="J161" s="3"/>
      <c r="K161" s="3"/>
      <c r="L161" s="3"/>
      <c r="M161" s="3"/>
      <c r="N161" s="3"/>
    </row>
    <row r="162" spans="1:14" s="25" customFormat="1">
      <c r="A162" s="45"/>
      <c r="F162" s="309"/>
      <c r="H162" s="155"/>
      <c r="I162" s="328"/>
      <c r="J162" s="3"/>
      <c r="K162" s="3"/>
      <c r="L162" s="3"/>
      <c r="M162" s="3"/>
      <c r="N162" s="3"/>
    </row>
    <row r="163" spans="1:14" s="25" customFormat="1">
      <c r="A163" s="45"/>
      <c r="F163" s="309"/>
      <c r="H163" s="155"/>
      <c r="I163" s="328"/>
      <c r="J163" s="3"/>
      <c r="K163" s="3"/>
      <c r="L163" s="3"/>
      <c r="M163" s="3"/>
      <c r="N163" s="3"/>
    </row>
    <row r="164" spans="1:14" s="25" customFormat="1">
      <c r="A164" s="45"/>
      <c r="F164" s="309"/>
      <c r="H164" s="155"/>
      <c r="I164" s="328"/>
      <c r="J164" s="3"/>
      <c r="K164" s="3"/>
      <c r="L164" s="3"/>
      <c r="M164" s="3"/>
      <c r="N164" s="3"/>
    </row>
    <row r="165" spans="1:14" s="25" customFormat="1">
      <c r="A165" s="45"/>
      <c r="F165" s="309"/>
      <c r="H165" s="155"/>
      <c r="I165" s="328"/>
      <c r="J165" s="3"/>
      <c r="K165" s="3"/>
      <c r="L165" s="3"/>
      <c r="M165" s="3"/>
      <c r="N165" s="3"/>
    </row>
    <row r="166" spans="1:14" s="25" customFormat="1">
      <c r="A166" s="45"/>
      <c r="F166" s="309"/>
      <c r="H166" s="155"/>
      <c r="I166" s="328"/>
      <c r="J166" s="3"/>
      <c r="K166" s="3"/>
      <c r="L166" s="3"/>
      <c r="M166" s="3"/>
      <c r="N166" s="3"/>
    </row>
    <row r="167" spans="1:14" s="25" customFormat="1">
      <c r="A167" s="45"/>
      <c r="F167" s="309"/>
      <c r="H167" s="155"/>
      <c r="I167" s="328"/>
      <c r="J167" s="3"/>
      <c r="K167" s="3"/>
      <c r="L167" s="3"/>
      <c r="M167" s="3"/>
      <c r="N167" s="3"/>
    </row>
    <row r="168" spans="1:14" s="25" customFormat="1">
      <c r="A168" s="45"/>
      <c r="F168" s="309"/>
      <c r="H168" s="155"/>
      <c r="I168" s="328"/>
      <c r="J168" s="3"/>
      <c r="K168" s="3"/>
      <c r="L168" s="3"/>
      <c r="M168" s="3"/>
      <c r="N168" s="3"/>
    </row>
    <row r="169" spans="1:14" s="25" customFormat="1">
      <c r="A169" s="45"/>
      <c r="F169" s="309"/>
      <c r="H169" s="155"/>
      <c r="I169" s="328"/>
      <c r="J169" s="3"/>
      <c r="K169" s="3"/>
      <c r="L169" s="3"/>
      <c r="M169" s="3"/>
      <c r="N169" s="3"/>
    </row>
    <row r="170" spans="1:14" s="25" customFormat="1">
      <c r="A170" s="45"/>
      <c r="F170" s="309"/>
      <c r="H170" s="155"/>
      <c r="I170" s="328"/>
      <c r="J170" s="3"/>
      <c r="K170" s="3"/>
      <c r="L170" s="3"/>
      <c r="M170" s="3"/>
      <c r="N170" s="3"/>
    </row>
    <row r="171" spans="1:14" s="25" customFormat="1">
      <c r="A171" s="45"/>
      <c r="F171" s="309"/>
      <c r="H171" s="155"/>
      <c r="I171" s="328"/>
      <c r="J171" s="3"/>
      <c r="K171" s="3"/>
      <c r="L171" s="3"/>
      <c r="M171" s="3"/>
      <c r="N171" s="3"/>
    </row>
    <row r="172" spans="1:14" s="25" customFormat="1">
      <c r="A172" s="45"/>
      <c r="F172" s="309"/>
      <c r="H172" s="155"/>
      <c r="I172" s="328"/>
      <c r="J172" s="3"/>
      <c r="K172" s="3"/>
      <c r="L172" s="3"/>
      <c r="M172" s="3"/>
      <c r="N172" s="3"/>
    </row>
    <row r="173" spans="1:14" s="25" customFormat="1">
      <c r="A173" s="45"/>
      <c r="F173" s="309"/>
      <c r="H173" s="155"/>
      <c r="I173" s="328"/>
      <c r="J173" s="3"/>
      <c r="K173" s="3"/>
      <c r="L173" s="3"/>
      <c r="M173" s="3"/>
      <c r="N173" s="3"/>
    </row>
    <row r="174" spans="1:14" s="25" customFormat="1">
      <c r="A174" s="45"/>
      <c r="F174" s="309"/>
      <c r="H174" s="155"/>
      <c r="I174" s="328"/>
      <c r="J174" s="3"/>
      <c r="K174" s="3"/>
      <c r="L174" s="3"/>
      <c r="M174" s="3"/>
      <c r="N174" s="3"/>
    </row>
    <row r="175" spans="1:14" s="25" customFormat="1">
      <c r="A175" s="45"/>
      <c r="F175" s="309"/>
      <c r="H175" s="155"/>
      <c r="I175" s="328"/>
      <c r="J175" s="3"/>
      <c r="K175" s="3"/>
      <c r="L175" s="3"/>
      <c r="M175" s="3"/>
      <c r="N175" s="3"/>
    </row>
    <row r="176" spans="1:14" s="25" customFormat="1">
      <c r="A176" s="45"/>
      <c r="F176" s="309"/>
      <c r="H176" s="155"/>
      <c r="I176" s="328"/>
      <c r="J176" s="3"/>
      <c r="K176" s="3"/>
      <c r="L176" s="3"/>
      <c r="M176" s="3"/>
      <c r="N176" s="3"/>
    </row>
    <row r="177" spans="1:14" s="25" customFormat="1">
      <c r="A177" s="45"/>
      <c r="F177" s="309"/>
      <c r="H177" s="155"/>
      <c r="I177" s="328"/>
      <c r="J177" s="3"/>
      <c r="K177" s="3"/>
      <c r="L177" s="3"/>
      <c r="M177" s="3"/>
      <c r="N177" s="3"/>
    </row>
    <row r="178" spans="1:14" s="25" customFormat="1">
      <c r="A178" s="45"/>
      <c r="F178" s="309"/>
      <c r="H178" s="155"/>
      <c r="I178" s="328"/>
      <c r="J178" s="3"/>
      <c r="K178" s="3"/>
      <c r="L178" s="3"/>
      <c r="M178" s="3"/>
      <c r="N178" s="3"/>
    </row>
    <row r="179" spans="1:14" s="25" customFormat="1">
      <c r="A179" s="45"/>
      <c r="F179" s="309"/>
      <c r="H179" s="155"/>
      <c r="I179" s="328"/>
      <c r="J179" s="3"/>
      <c r="K179" s="3"/>
      <c r="L179" s="3"/>
      <c r="M179" s="3"/>
      <c r="N179" s="3"/>
    </row>
    <row r="180" spans="1:14" s="25" customFormat="1">
      <c r="A180" s="45"/>
      <c r="F180" s="309"/>
      <c r="H180" s="155"/>
      <c r="I180" s="328"/>
      <c r="J180" s="3"/>
      <c r="K180" s="3"/>
      <c r="L180" s="3"/>
      <c r="M180" s="3"/>
      <c r="N180" s="3"/>
    </row>
    <row r="181" spans="1:14" s="25" customFormat="1">
      <c r="A181" s="45"/>
      <c r="F181" s="309"/>
      <c r="H181" s="155"/>
      <c r="I181" s="328"/>
      <c r="J181" s="3"/>
      <c r="K181" s="3"/>
      <c r="L181" s="3"/>
      <c r="M181" s="3"/>
      <c r="N181" s="3"/>
    </row>
    <row r="182" spans="1:14" s="25" customFormat="1">
      <c r="A182" s="45"/>
      <c r="F182" s="309"/>
      <c r="H182" s="155"/>
      <c r="I182" s="328"/>
      <c r="J182" s="3"/>
      <c r="K182" s="3"/>
      <c r="L182" s="3"/>
      <c r="M182" s="3"/>
      <c r="N182" s="3"/>
    </row>
    <row r="183" spans="1:14" s="25" customFormat="1">
      <c r="A183" s="45"/>
      <c r="F183" s="309"/>
      <c r="H183" s="155"/>
      <c r="I183" s="328"/>
      <c r="J183" s="3"/>
      <c r="K183" s="3"/>
      <c r="L183" s="3"/>
      <c r="M183" s="3"/>
      <c r="N183" s="3"/>
    </row>
    <row r="184" spans="1:14" s="25" customFormat="1">
      <c r="A184" s="45"/>
      <c r="F184" s="309"/>
      <c r="H184" s="155"/>
      <c r="I184" s="328"/>
      <c r="J184" s="3"/>
      <c r="K184" s="3"/>
      <c r="L184" s="3"/>
      <c r="M184" s="3"/>
      <c r="N184" s="3"/>
    </row>
    <row r="185" spans="1:14" s="25" customFormat="1">
      <c r="A185" s="45"/>
      <c r="F185" s="309"/>
      <c r="H185" s="155"/>
      <c r="I185" s="328"/>
      <c r="J185" s="3"/>
      <c r="K185" s="3"/>
      <c r="L185" s="3"/>
      <c r="M185" s="3"/>
      <c r="N185" s="3"/>
    </row>
    <row r="186" spans="1:14" s="25" customFormat="1">
      <c r="A186" s="45"/>
      <c r="F186" s="309"/>
      <c r="H186" s="155"/>
      <c r="I186" s="328"/>
      <c r="J186" s="3"/>
      <c r="K186" s="3"/>
      <c r="L186" s="3"/>
      <c r="M186" s="3"/>
      <c r="N186" s="3"/>
    </row>
    <row r="187" spans="1:14" s="25" customFormat="1">
      <c r="A187" s="45"/>
      <c r="F187" s="309"/>
      <c r="H187" s="155"/>
      <c r="I187" s="328"/>
      <c r="J187" s="3"/>
      <c r="K187" s="3"/>
      <c r="L187" s="3"/>
      <c r="M187" s="3"/>
      <c r="N187" s="3"/>
    </row>
    <row r="188" spans="1:14" s="25" customFormat="1">
      <c r="A188" s="45"/>
      <c r="F188" s="309"/>
      <c r="H188" s="155"/>
      <c r="I188" s="328"/>
      <c r="J188" s="3"/>
      <c r="K188" s="3"/>
      <c r="L188" s="3"/>
      <c r="M188" s="3"/>
      <c r="N188" s="3"/>
    </row>
    <row r="189" spans="1:14" s="25" customFormat="1">
      <c r="A189" s="45"/>
      <c r="F189" s="309"/>
      <c r="H189" s="155"/>
      <c r="I189" s="328"/>
      <c r="J189" s="3"/>
      <c r="K189" s="3"/>
      <c r="L189" s="3"/>
      <c r="M189" s="3"/>
      <c r="N189" s="3"/>
    </row>
    <row r="190" spans="1:14" s="25" customFormat="1">
      <c r="A190" s="45"/>
      <c r="F190" s="309"/>
      <c r="H190" s="155"/>
      <c r="I190" s="328"/>
      <c r="J190" s="3"/>
      <c r="K190" s="3"/>
      <c r="L190" s="3"/>
      <c r="M190" s="3"/>
      <c r="N190" s="3"/>
    </row>
    <row r="191" spans="1:14" s="25" customFormat="1">
      <c r="A191" s="45"/>
      <c r="F191" s="309"/>
      <c r="H191" s="155"/>
      <c r="I191" s="328"/>
      <c r="J191" s="3"/>
      <c r="K191" s="3"/>
      <c r="L191" s="3"/>
      <c r="M191" s="3"/>
      <c r="N191" s="3"/>
    </row>
    <row r="192" spans="1:14" s="25" customFormat="1">
      <c r="A192" s="45"/>
      <c r="F192" s="309"/>
      <c r="H192" s="155"/>
      <c r="I192" s="328"/>
      <c r="J192" s="3"/>
      <c r="K192" s="3"/>
      <c r="L192" s="3"/>
      <c r="M192" s="3"/>
      <c r="N192" s="3"/>
    </row>
    <row r="193" spans="1:14" s="25" customFormat="1">
      <c r="A193" s="45"/>
      <c r="F193" s="309"/>
      <c r="H193" s="155"/>
      <c r="I193" s="328"/>
      <c r="J193" s="3"/>
      <c r="K193" s="3"/>
      <c r="L193" s="3"/>
      <c r="M193" s="3"/>
      <c r="N193" s="3"/>
    </row>
    <row r="194" spans="1:14" s="25" customFormat="1">
      <c r="A194" s="45"/>
      <c r="F194" s="309"/>
      <c r="H194" s="155"/>
      <c r="I194" s="328"/>
      <c r="J194" s="3"/>
      <c r="K194" s="3"/>
      <c r="L194" s="3"/>
      <c r="M194" s="3"/>
      <c r="N194" s="3"/>
    </row>
    <row r="195" spans="1:14" s="25" customFormat="1">
      <c r="A195" s="45"/>
      <c r="F195" s="309"/>
      <c r="H195" s="155"/>
      <c r="I195" s="328"/>
      <c r="J195" s="3"/>
      <c r="K195" s="3"/>
      <c r="L195" s="3"/>
      <c r="M195" s="3"/>
      <c r="N195" s="3"/>
    </row>
    <row r="196" spans="1:14" s="25" customFormat="1">
      <c r="A196" s="45"/>
      <c r="F196" s="309"/>
      <c r="H196" s="155"/>
      <c r="I196" s="328"/>
      <c r="J196" s="3"/>
      <c r="K196" s="3"/>
      <c r="L196" s="3"/>
      <c r="M196" s="3"/>
      <c r="N196" s="3"/>
    </row>
    <row r="197" spans="1:14" s="25" customFormat="1">
      <c r="A197" s="45"/>
      <c r="F197" s="309"/>
      <c r="H197" s="155"/>
      <c r="I197" s="328"/>
      <c r="J197" s="3"/>
      <c r="K197" s="3"/>
      <c r="L197" s="3"/>
      <c r="M197" s="3"/>
      <c r="N197" s="3"/>
    </row>
    <row r="198" spans="1:14" s="25" customFormat="1">
      <c r="A198" s="45"/>
      <c r="F198" s="309"/>
      <c r="H198" s="155"/>
      <c r="I198" s="328"/>
      <c r="J198" s="3"/>
      <c r="K198" s="3"/>
      <c r="L198" s="3"/>
      <c r="M198" s="3"/>
      <c r="N198" s="3"/>
    </row>
    <row r="199" spans="1:14" s="25" customFormat="1">
      <c r="A199" s="45"/>
      <c r="F199" s="309"/>
      <c r="H199" s="155"/>
      <c r="I199" s="328"/>
      <c r="J199" s="3"/>
      <c r="K199" s="3"/>
      <c r="L199" s="3"/>
      <c r="M199" s="3"/>
      <c r="N199" s="3"/>
    </row>
    <row r="200" spans="1:14" s="25" customFormat="1">
      <c r="A200" s="45"/>
      <c r="F200" s="309"/>
      <c r="H200" s="155"/>
      <c r="I200" s="328"/>
      <c r="J200" s="3"/>
      <c r="K200" s="3"/>
      <c r="L200" s="3"/>
      <c r="M200" s="3"/>
      <c r="N200" s="3"/>
    </row>
    <row r="201" spans="1:14" s="25" customFormat="1">
      <c r="A201" s="45"/>
      <c r="F201" s="309"/>
      <c r="H201" s="155"/>
      <c r="I201" s="328"/>
      <c r="J201" s="3"/>
      <c r="K201" s="3"/>
      <c r="L201" s="3"/>
      <c r="M201" s="3"/>
      <c r="N201" s="3"/>
    </row>
    <row r="202" spans="1:14" s="25" customFormat="1">
      <c r="A202" s="45"/>
      <c r="F202" s="309"/>
      <c r="H202" s="155"/>
      <c r="I202" s="328"/>
      <c r="J202" s="3"/>
      <c r="K202" s="3"/>
      <c r="L202" s="3"/>
      <c r="M202" s="3"/>
      <c r="N202" s="3"/>
    </row>
    <row r="203" spans="1:14" s="25" customFormat="1">
      <c r="A203" s="45"/>
      <c r="F203" s="309"/>
      <c r="H203" s="155"/>
      <c r="I203" s="328"/>
      <c r="J203" s="3"/>
      <c r="K203" s="3"/>
      <c r="L203" s="3"/>
      <c r="M203" s="3"/>
      <c r="N203" s="3"/>
    </row>
    <row r="204" spans="1:14" s="25" customFormat="1">
      <c r="A204" s="45"/>
      <c r="F204" s="309"/>
      <c r="H204" s="155"/>
      <c r="I204" s="328"/>
      <c r="J204" s="3"/>
      <c r="K204" s="3"/>
      <c r="L204" s="3"/>
      <c r="M204" s="3"/>
      <c r="N204" s="3"/>
    </row>
    <row r="205" spans="1:14" s="25" customFormat="1">
      <c r="A205" s="45"/>
      <c r="F205" s="309"/>
      <c r="H205" s="155"/>
      <c r="I205" s="328"/>
      <c r="J205" s="3"/>
      <c r="K205" s="3"/>
      <c r="L205" s="3"/>
      <c r="M205" s="3"/>
      <c r="N205" s="3"/>
    </row>
    <row r="206" spans="1:14" s="25" customFormat="1">
      <c r="A206" s="45"/>
      <c r="F206" s="309"/>
      <c r="H206" s="155"/>
      <c r="I206" s="328"/>
      <c r="J206" s="3"/>
      <c r="K206" s="3"/>
      <c r="L206" s="3"/>
      <c r="M206" s="3"/>
      <c r="N206" s="3"/>
    </row>
    <row r="207" spans="1:14" s="25" customFormat="1">
      <c r="A207" s="45"/>
      <c r="F207" s="309"/>
      <c r="H207" s="155"/>
      <c r="I207" s="328"/>
      <c r="J207" s="3"/>
      <c r="K207" s="3"/>
      <c r="L207" s="3"/>
      <c r="M207" s="3"/>
      <c r="N207" s="3"/>
    </row>
    <row r="208" spans="1:14" s="25" customFormat="1">
      <c r="A208" s="45"/>
      <c r="F208" s="309"/>
      <c r="H208" s="155"/>
      <c r="I208" s="328"/>
      <c r="J208" s="3"/>
      <c r="K208" s="3"/>
      <c r="L208" s="3"/>
      <c r="M208" s="3"/>
      <c r="N208" s="3"/>
    </row>
    <row r="209" spans="1:14" s="25" customFormat="1">
      <c r="A209" s="45"/>
      <c r="F209" s="309"/>
      <c r="H209" s="155"/>
      <c r="I209" s="328"/>
      <c r="J209" s="3"/>
      <c r="K209" s="3"/>
      <c r="L209" s="3"/>
      <c r="M209" s="3"/>
      <c r="N209" s="3"/>
    </row>
    <row r="210" spans="1:14" s="25" customFormat="1">
      <c r="A210" s="45"/>
      <c r="F210" s="309"/>
      <c r="H210" s="155"/>
      <c r="I210" s="328"/>
      <c r="J210" s="3"/>
      <c r="K210" s="3"/>
      <c r="L210" s="3"/>
      <c r="M210" s="3"/>
      <c r="N210" s="3"/>
    </row>
    <row r="211" spans="1:14" s="25" customFormat="1">
      <c r="A211" s="45"/>
      <c r="F211" s="309"/>
      <c r="H211" s="155"/>
      <c r="I211" s="328"/>
      <c r="J211" s="3"/>
      <c r="K211" s="3"/>
      <c r="L211" s="3"/>
      <c r="M211" s="3"/>
      <c r="N211" s="3"/>
    </row>
    <row r="212" spans="1:14" s="25" customFormat="1">
      <c r="A212" s="45"/>
      <c r="F212" s="309"/>
      <c r="H212" s="155"/>
      <c r="I212" s="328"/>
      <c r="J212" s="3"/>
      <c r="K212" s="3"/>
      <c r="L212" s="3"/>
      <c r="M212" s="3"/>
      <c r="N212" s="3"/>
    </row>
    <row r="213" spans="1:14" s="25" customFormat="1">
      <c r="A213" s="45"/>
      <c r="F213" s="309"/>
      <c r="H213" s="155"/>
      <c r="I213" s="328"/>
      <c r="J213" s="3"/>
      <c r="K213" s="3"/>
      <c r="L213" s="3"/>
      <c r="M213" s="3"/>
      <c r="N213" s="3"/>
    </row>
    <row r="214" spans="1:14" s="25" customFormat="1">
      <c r="A214" s="45"/>
      <c r="F214" s="309"/>
      <c r="H214" s="155"/>
      <c r="I214" s="328"/>
      <c r="J214" s="3"/>
      <c r="K214" s="3"/>
      <c r="L214" s="3"/>
      <c r="M214" s="3"/>
      <c r="N214" s="3"/>
    </row>
    <row r="215" spans="1:14" s="25" customFormat="1">
      <c r="A215" s="45"/>
      <c r="F215" s="309"/>
      <c r="H215" s="155"/>
      <c r="I215" s="328"/>
      <c r="J215" s="3"/>
      <c r="K215" s="3"/>
      <c r="L215" s="3"/>
      <c r="M215" s="3"/>
      <c r="N215" s="3"/>
    </row>
    <row r="216" spans="1:14" s="25" customFormat="1">
      <c r="A216" s="45"/>
      <c r="F216" s="309"/>
      <c r="H216" s="155"/>
      <c r="I216" s="328"/>
      <c r="J216" s="3"/>
      <c r="K216" s="3"/>
      <c r="L216" s="3"/>
      <c r="M216" s="3"/>
      <c r="N216" s="3"/>
    </row>
    <row r="217" spans="1:14" s="25" customFormat="1">
      <c r="A217" s="45"/>
      <c r="F217" s="309"/>
      <c r="H217" s="155"/>
      <c r="I217" s="328"/>
      <c r="J217" s="3"/>
      <c r="K217" s="3"/>
      <c r="L217" s="3"/>
      <c r="M217" s="3"/>
      <c r="N217" s="3"/>
    </row>
    <row r="218" spans="1:14" s="25" customFormat="1">
      <c r="A218" s="45"/>
      <c r="F218" s="309"/>
      <c r="H218" s="155"/>
      <c r="I218" s="328"/>
      <c r="J218" s="3"/>
      <c r="K218" s="3"/>
      <c r="L218" s="3"/>
      <c r="M218" s="3"/>
      <c r="N218" s="3"/>
    </row>
    <row r="219" spans="1:14" s="25" customFormat="1">
      <c r="A219" s="45"/>
      <c r="F219" s="309"/>
      <c r="H219" s="155"/>
      <c r="I219" s="328"/>
      <c r="J219" s="3"/>
      <c r="K219" s="3"/>
      <c r="L219" s="3"/>
      <c r="M219" s="3"/>
      <c r="N219" s="3"/>
    </row>
    <row r="220" spans="1:14" s="25" customFormat="1">
      <c r="A220" s="45"/>
      <c r="F220" s="309"/>
      <c r="H220" s="155"/>
      <c r="I220" s="328"/>
      <c r="J220" s="3"/>
      <c r="K220" s="3"/>
      <c r="L220" s="3"/>
      <c r="M220" s="3"/>
      <c r="N220" s="3"/>
    </row>
    <row r="221" spans="1:14" s="25" customFormat="1">
      <c r="A221" s="45"/>
      <c r="F221" s="309"/>
      <c r="H221" s="155"/>
      <c r="I221" s="328"/>
      <c r="J221" s="3"/>
      <c r="K221" s="3"/>
      <c r="L221" s="3"/>
      <c r="M221" s="3"/>
      <c r="N221" s="3"/>
    </row>
    <row r="222" spans="1:14" s="25" customFormat="1">
      <c r="A222" s="45"/>
      <c r="F222" s="309"/>
      <c r="H222" s="155"/>
      <c r="I222" s="328"/>
      <c r="J222" s="3"/>
      <c r="K222" s="3"/>
      <c r="L222" s="3"/>
      <c r="M222" s="3"/>
      <c r="N222" s="3"/>
    </row>
  </sheetData>
  <mergeCells count="24">
    <mergeCell ref="C53:J53"/>
    <mergeCell ref="L53:N53"/>
    <mergeCell ref="A15:A16"/>
    <mergeCell ref="B15:B16"/>
    <mergeCell ref="J15:J16"/>
    <mergeCell ref="H15:H16"/>
    <mergeCell ref="A34:N34"/>
    <mergeCell ref="A18:N18"/>
    <mergeCell ref="C52:J52"/>
    <mergeCell ref="A42:N42"/>
    <mergeCell ref="A51:N51"/>
    <mergeCell ref="L52:N52"/>
    <mergeCell ref="A49:N49"/>
    <mergeCell ref="F15:F16"/>
    <mergeCell ref="A9:N9"/>
    <mergeCell ref="K15:N15"/>
    <mergeCell ref="A11:N11"/>
    <mergeCell ref="G15:G16"/>
    <mergeCell ref="E15:E16"/>
    <mergeCell ref="D15:D16"/>
    <mergeCell ref="A13:N13"/>
    <mergeCell ref="C15:C16"/>
    <mergeCell ref="A10:N10"/>
    <mergeCell ref="I15:I16"/>
  </mergeCells>
  <phoneticPr fontId="3" type="noConversion"/>
  <pageMargins left="0.70866141732283472" right="0.31496062992125984" top="0.74803149606299213" bottom="0.74803149606299213" header="0.31496062992125984" footer="0.31496062992125984"/>
  <pageSetup paperSize="9" scale="57" orientation="portrait" verticalDpi="300" r:id="rId1"/>
  <headerFooter alignWithMargins="0">
    <oddHeader xml:space="preserve">&amp;C&amp;"Times New Roman,обычный"&amp;14
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9FF66"/>
  </sheetPr>
  <dimension ref="A1:R351"/>
  <sheetViews>
    <sheetView showZeros="0" topLeftCell="A4" zoomScale="75" zoomScaleNormal="75" zoomScaleSheetLayoutView="85" workbookViewId="0">
      <selection activeCell="N12" sqref="N12"/>
    </sheetView>
  </sheetViews>
  <sheetFormatPr defaultRowHeight="18.75" outlineLevelRow="1" outlineLevelCol="1"/>
  <cols>
    <col min="1" max="1" width="52.140625" style="3" customWidth="1"/>
    <col min="2" max="2" width="8" style="25" customWidth="1"/>
    <col min="3" max="3" width="12.42578125" style="155" hidden="1" customWidth="1" outlineLevel="1"/>
    <col min="4" max="4" width="13.7109375" style="155" hidden="1" customWidth="1" outlineLevel="1"/>
    <col min="5" max="5" width="12.5703125" style="155" hidden="1" customWidth="1" outlineLevel="1"/>
    <col min="6" max="6" width="12.5703125" style="155" customWidth="1" collapsed="1"/>
    <col min="7" max="7" width="14.140625" style="155" hidden="1" customWidth="1" outlineLevel="1"/>
    <col min="8" max="8" width="14.140625" style="155" customWidth="1" collapsed="1"/>
    <col min="9" max="9" width="14.140625" style="155" customWidth="1"/>
    <col min="10" max="10" width="13.85546875" style="3" customWidth="1"/>
    <col min="11" max="11" width="13" style="3" customWidth="1"/>
    <col min="12" max="12" width="11.7109375" style="3" customWidth="1"/>
    <col min="13" max="13" width="12.42578125" style="3" customWidth="1"/>
    <col min="14" max="14" width="11.5703125" style="3" customWidth="1"/>
    <col min="15" max="15" width="10.7109375" style="3" bestFit="1" customWidth="1"/>
    <col min="16" max="16" width="11.42578125" style="3" bestFit="1" customWidth="1"/>
    <col min="17" max="17" width="10.28515625" style="3" bestFit="1" customWidth="1"/>
    <col min="18" max="16384" width="9.140625" style="3"/>
  </cols>
  <sheetData>
    <row r="1" spans="1:18" ht="11.25" customHeight="1">
      <c r="N1" s="3">
        <v>2</v>
      </c>
    </row>
    <row r="2" spans="1:18" ht="12" customHeight="1">
      <c r="A2" s="14"/>
      <c r="B2" s="14"/>
      <c r="C2" s="156"/>
      <c r="D2" s="156"/>
      <c r="E2" s="14"/>
      <c r="F2" s="311"/>
      <c r="G2" s="14"/>
      <c r="H2" s="156"/>
      <c r="I2" s="326"/>
      <c r="J2" s="14"/>
      <c r="K2" s="14"/>
      <c r="L2" s="14"/>
      <c r="M2" s="14"/>
      <c r="N2" s="14"/>
      <c r="O2" s="14"/>
    </row>
    <row r="3" spans="1:18" ht="11.25" customHeight="1">
      <c r="O3" s="14"/>
    </row>
    <row r="4" spans="1:18">
      <c r="A4" s="423" t="s">
        <v>367</v>
      </c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14"/>
    </row>
    <row r="5" spans="1:18" ht="16.5" customHeight="1">
      <c r="A5" s="38"/>
      <c r="B5" s="48"/>
      <c r="C5" s="199">
        <v>2015</v>
      </c>
      <c r="D5" s="199">
        <v>2016</v>
      </c>
      <c r="E5" s="157"/>
      <c r="F5" s="157"/>
      <c r="G5" s="157"/>
      <c r="H5" s="157"/>
      <c r="I5" s="157"/>
      <c r="J5" s="38"/>
      <c r="K5" s="38"/>
      <c r="L5" s="38"/>
      <c r="M5" s="38"/>
      <c r="N5" s="38"/>
      <c r="O5" s="14"/>
    </row>
    <row r="6" spans="1:18" s="254" customFormat="1" ht="36" customHeight="1">
      <c r="A6" s="401" t="s">
        <v>195</v>
      </c>
      <c r="B6" s="402" t="s">
        <v>6</v>
      </c>
      <c r="C6" s="396" t="s">
        <v>326</v>
      </c>
      <c r="D6" s="398" t="s">
        <v>337</v>
      </c>
      <c r="E6" s="396" t="str">
        <f>'Фінплан - зведені показники'!E15</f>
        <v xml:space="preserve">Факт 2017 року </v>
      </c>
      <c r="F6" s="396" t="str">
        <f>'Фінплан - зведені показники'!F15</f>
        <v xml:space="preserve">Факт 2018 року </v>
      </c>
      <c r="G6" s="396" t="str">
        <f>'Фінплан - зведені показники'!G15</f>
        <v>Фінансовий план 2019 року</v>
      </c>
      <c r="H6" s="403" t="str">
        <f>'Фінплан - зведені показники'!H15</f>
        <v>Факт 2019 року</v>
      </c>
      <c r="I6" s="396" t="str">
        <f>'Фінплан - зведені показники'!I15</f>
        <v>Фінансовий план 2020 року</v>
      </c>
      <c r="J6" s="396" t="str">
        <f>'Фінплан - зведені показники'!J15</f>
        <v>Плановий 2020 рік  (зі змінами)</v>
      </c>
      <c r="K6" s="402" t="s">
        <v>283</v>
      </c>
      <c r="L6" s="402"/>
      <c r="M6" s="402"/>
      <c r="N6" s="402"/>
      <c r="O6" s="253"/>
    </row>
    <row r="7" spans="1:18" s="254" customFormat="1" ht="28.5" customHeight="1">
      <c r="A7" s="401"/>
      <c r="B7" s="402"/>
      <c r="C7" s="399"/>
      <c r="D7" s="398"/>
      <c r="E7" s="399"/>
      <c r="F7" s="399"/>
      <c r="G7" s="399"/>
      <c r="H7" s="422"/>
      <c r="I7" s="399"/>
      <c r="J7" s="399"/>
      <c r="K7" s="255" t="s">
        <v>155</v>
      </c>
      <c r="L7" s="255" t="s">
        <v>156</v>
      </c>
      <c r="M7" s="255" t="s">
        <v>157</v>
      </c>
      <c r="N7" s="255" t="s">
        <v>58</v>
      </c>
      <c r="O7" s="253"/>
    </row>
    <row r="8" spans="1:18" ht="18" hidden="1" customHeight="1">
      <c r="A8" s="6">
        <v>1</v>
      </c>
      <c r="B8" s="7">
        <v>2</v>
      </c>
      <c r="C8" s="158">
        <v>3</v>
      </c>
      <c r="D8" s="197">
        <v>3</v>
      </c>
      <c r="E8" s="248">
        <v>3</v>
      </c>
      <c r="F8" s="248">
        <v>3</v>
      </c>
      <c r="G8" s="248">
        <v>4</v>
      </c>
      <c r="H8" s="248">
        <v>5</v>
      </c>
      <c r="I8" s="248"/>
      <c r="J8" s="248">
        <v>6</v>
      </c>
      <c r="K8" s="248">
        <v>7</v>
      </c>
      <c r="L8" s="248">
        <v>8</v>
      </c>
      <c r="M8" s="248">
        <v>9</v>
      </c>
      <c r="N8" s="248">
        <v>10</v>
      </c>
      <c r="O8" s="14"/>
    </row>
    <row r="9" spans="1:18" s="5" customFormat="1" ht="20.100000000000001" customHeight="1">
      <c r="A9" s="419" t="s">
        <v>235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14"/>
      <c r="P9" s="3"/>
    </row>
    <row r="10" spans="1:18" s="175" customFormat="1" ht="37.5">
      <c r="A10" s="172" t="s">
        <v>236</v>
      </c>
      <c r="B10" s="179">
        <v>1000</v>
      </c>
      <c r="C10" s="159">
        <f t="shared" ref="C10:N10" si="0">C11+C12+C13</f>
        <v>3937.0999999999995</v>
      </c>
      <c r="D10" s="204">
        <f t="shared" si="0"/>
        <v>7632.7000000000007</v>
      </c>
      <c r="E10" s="204">
        <f>E11+E12+E13</f>
        <v>10722.4</v>
      </c>
      <c r="F10" s="204">
        <f>F11+F12+F13</f>
        <v>11298.1</v>
      </c>
      <c r="G10" s="204">
        <f>G11+G12+G13</f>
        <v>13828</v>
      </c>
      <c r="H10" s="204">
        <f>H11+H12+H13</f>
        <v>13243.2</v>
      </c>
      <c r="I10" s="204">
        <v>20445.099999999999</v>
      </c>
      <c r="J10" s="204">
        <f t="shared" si="0"/>
        <v>20600.3</v>
      </c>
      <c r="K10" s="204">
        <f>K11+K12+K13</f>
        <v>6402.0999999999995</v>
      </c>
      <c r="L10" s="204">
        <f>L11+L12+L13</f>
        <v>4176.2</v>
      </c>
      <c r="M10" s="204">
        <f t="shared" si="0"/>
        <v>3685.5</v>
      </c>
      <c r="N10" s="204">
        <f t="shared" si="0"/>
        <v>6336.5000000000009</v>
      </c>
      <c r="O10" s="14"/>
      <c r="P10" s="208"/>
      <c r="R10" s="213"/>
    </row>
    <row r="11" spans="1:18" s="175" customFormat="1" ht="20.100000000000001" customHeight="1">
      <c r="A11" s="214" t="s">
        <v>239</v>
      </c>
      <c r="B11" s="210">
        <v>1010</v>
      </c>
      <c r="C11" s="154">
        <f>'[36]Факт 2015'!$V$12-C33</f>
        <v>1129.6999999999996</v>
      </c>
      <c r="D11" s="166">
        <f>'[37]1.Фінансовий результат'!D11</f>
        <v>1568.6</v>
      </c>
      <c r="E11" s="166">
        <f>'[38]1.Фінансовий результат'!D11</f>
        <v>960.5</v>
      </c>
      <c r="F11" s="166">
        <f>'[39]1.Фінансовий результат'!D11</f>
        <v>1212.5</v>
      </c>
      <c r="G11" s="166">
        <f>'[40]1.Фінансовий результат'!H11</f>
        <v>1405.2</v>
      </c>
      <c r="H11" s="166">
        <f>'[41]1.Фінансовий результат'!$D$11</f>
        <v>1505.6</v>
      </c>
      <c r="I11" s="166">
        <v>1599.6</v>
      </c>
      <c r="J11" s="166">
        <f>SUM(K11:N11)</f>
        <v>1754.8</v>
      </c>
      <c r="K11" s="166">
        <f>ROUND(('[42]ФП форма 3'!Z17-K33*1.2),1)+31.6</f>
        <v>451.20000000000005</v>
      </c>
      <c r="L11" s="166">
        <f>ROUND(('[42]ФП форма 3'!AD17-L33*1.2),1)+89+18.1-73</f>
        <v>406.1</v>
      </c>
      <c r="M11" s="166">
        <f>ROUND(('[42]ФП форма 3'!AH17-M33*1.2),1)+117.5-73</f>
        <v>424.2</v>
      </c>
      <c r="N11" s="166">
        <f>ROUND(('[42]ФП форма 3'!AL17-N33*1.2),1)+124.2-79.2</f>
        <v>473.3</v>
      </c>
      <c r="O11" s="14"/>
      <c r="P11" s="208"/>
      <c r="R11" s="213"/>
    </row>
    <row r="12" spans="1:18" s="175" customFormat="1" ht="20.100000000000001" customHeight="1">
      <c r="A12" s="214" t="s">
        <v>240</v>
      </c>
      <c r="B12" s="210">
        <v>1011</v>
      </c>
      <c r="C12" s="154"/>
      <c r="D12" s="166">
        <f>'[37]1.Фінансовий результат'!D12</f>
        <v>0</v>
      </c>
      <c r="E12" s="166">
        <f>'[38]1.Фінансовий результат'!D12</f>
        <v>0</v>
      </c>
      <c r="F12" s="166">
        <f>'[39]1.Фінансовий результат'!D12</f>
        <v>0</v>
      </c>
      <c r="G12" s="166">
        <f>'[40]1.Фінансовий результат'!H12</f>
        <v>0</v>
      </c>
      <c r="H12" s="166">
        <f>'[43]1.Фінансовий результат'!D12+'[44]1.Фінансовий результат'!L12+'[44]1.Фінансовий результат'!M12</f>
        <v>0</v>
      </c>
      <c r="I12" s="166"/>
      <c r="J12" s="166"/>
      <c r="K12" s="204"/>
      <c r="L12" s="204"/>
      <c r="M12" s="204"/>
      <c r="N12" s="204"/>
      <c r="O12" s="14"/>
      <c r="P12" s="208"/>
      <c r="R12" s="213"/>
    </row>
    <row r="13" spans="1:18" s="175" customFormat="1" ht="20.100000000000001" customHeight="1">
      <c r="A13" s="214" t="s">
        <v>241</v>
      </c>
      <c r="B13" s="210">
        <v>1012</v>
      </c>
      <c r="C13" s="154">
        <f>'[36]Факт 2015'!$V$13</f>
        <v>2807.4</v>
      </c>
      <c r="D13" s="166">
        <f>'[37]1.Фінансовий результат'!D13</f>
        <v>6064.1</v>
      </c>
      <c r="E13" s="166">
        <f>'[38]1.Фінансовий результат'!D13</f>
        <v>9761.9</v>
      </c>
      <c r="F13" s="166">
        <f>SUM(F14:F15)</f>
        <v>10085.6</v>
      </c>
      <c r="G13" s="166">
        <f>SUM(G14:G15)</f>
        <v>12422.8</v>
      </c>
      <c r="H13" s="166">
        <f>SUM(H14:H15)</f>
        <v>11737.6</v>
      </c>
      <c r="I13" s="166">
        <v>18845.5</v>
      </c>
      <c r="J13" s="166">
        <f>SUM(K13:N13)</f>
        <v>18845.5</v>
      </c>
      <c r="K13" s="166">
        <f>K14+K15</f>
        <v>5950.9</v>
      </c>
      <c r="L13" s="166">
        <f>L14+L15</f>
        <v>3770.1</v>
      </c>
      <c r="M13" s="166">
        <f>M14+M15</f>
        <v>3261.3</v>
      </c>
      <c r="N13" s="166">
        <f>N14+N15</f>
        <v>5863.2000000000007</v>
      </c>
      <c r="O13" s="14"/>
      <c r="P13" s="208"/>
      <c r="R13" s="213"/>
    </row>
    <row r="14" spans="1:18" s="374" customFormat="1" ht="18.75" customHeight="1">
      <c r="A14" s="369" t="s">
        <v>349</v>
      </c>
      <c r="B14" s="370">
        <v>1</v>
      </c>
      <c r="C14" s="371">
        <f>'[36]Факт 2015'!$V$13</f>
        <v>2807.4</v>
      </c>
      <c r="D14" s="244">
        <v>6064.1</v>
      </c>
      <c r="E14" s="244">
        <f>'[38]1.Фінансовий результат'!$D$13</f>
        <v>9761.9</v>
      </c>
      <c r="F14" s="244">
        <f>'[39]1.Фінансовий результат'!D14</f>
        <v>10085.6</v>
      </c>
      <c r="G14" s="244">
        <f>'[40]1.Фінансовий результат'!H14</f>
        <v>12422.8</v>
      </c>
      <c r="H14" s="244">
        <f>'[41]1.Фінансовий результат'!$D$14</f>
        <v>11737.6</v>
      </c>
      <c r="I14" s="244">
        <v>18845.5</v>
      </c>
      <c r="J14" s="244">
        <f>SUM(K14:N14)</f>
        <v>18845.5</v>
      </c>
      <c r="K14" s="244">
        <f>'[42]ФП форма 3'!Z18</f>
        <v>5950.9</v>
      </c>
      <c r="L14" s="244">
        <f>'[42]ФП форма 3'!AD18</f>
        <v>3770.1</v>
      </c>
      <c r="M14" s="244">
        <f>'[42]ФП форма 3'!AH18</f>
        <v>3261.3</v>
      </c>
      <c r="N14" s="244">
        <f>'[42]ФП форма 3'!AL18+0.1</f>
        <v>5863.2000000000007</v>
      </c>
      <c r="O14" s="372"/>
      <c r="P14" s="373"/>
      <c r="R14" s="375"/>
    </row>
    <row r="15" spans="1:18" s="247" customFormat="1" ht="19.5" hidden="1">
      <c r="A15" s="245"/>
      <c r="B15" s="246"/>
      <c r="C15" s="163"/>
      <c r="D15" s="223"/>
      <c r="E15" s="223"/>
      <c r="F15" s="166">
        <f>'[39]1.Фінансовий результат'!D15</f>
        <v>0</v>
      </c>
      <c r="G15" s="166">
        <f>'[40]1.Фінансовий результат'!H15</f>
        <v>0</v>
      </c>
      <c r="H15" s="223"/>
      <c r="I15" s="223"/>
      <c r="J15" s="223"/>
      <c r="K15" s="223"/>
      <c r="L15" s="223"/>
      <c r="M15" s="223"/>
      <c r="N15" s="223"/>
      <c r="O15" s="239"/>
      <c r="P15" s="208"/>
      <c r="R15" s="240"/>
    </row>
    <row r="16" spans="1:18" s="175" customFormat="1" ht="20.100000000000001" customHeight="1">
      <c r="A16" s="214" t="s">
        <v>237</v>
      </c>
      <c r="B16" s="210">
        <v>1020</v>
      </c>
      <c r="C16" s="154">
        <f>'[36]Факт 2015'!$V$15</f>
        <v>698.6</v>
      </c>
      <c r="D16" s="166">
        <f>'[37]1.Фінансовий результат'!D14</f>
        <v>1338.7</v>
      </c>
      <c r="E16" s="166">
        <f>'[38]1.Фінансовий результат'!$D$14</f>
        <v>1914.7</v>
      </c>
      <c r="F16" s="166">
        <f>'[39]1.Фінансовий результат'!D16</f>
        <v>2646.9</v>
      </c>
      <c r="G16" s="166">
        <f>'[40]1.Фінансовий результат'!H16</f>
        <v>2343.6999999999998</v>
      </c>
      <c r="H16" s="166">
        <f>'[41]1.Фінансовий результат'!$D$16</f>
        <v>3373.4</v>
      </c>
      <c r="I16" s="166">
        <v>3450.5</v>
      </c>
      <c r="J16" s="166">
        <f>SUM(K16:N16)</f>
        <v>4341.2833333333328</v>
      </c>
      <c r="K16" s="166">
        <f>ROUND((K10+K33)/6,1)-9+K96/6</f>
        <v>1294.0166666666667</v>
      </c>
      <c r="L16" s="166">
        <f>ROUND((L10+L33)/6,1)-9+L96/6</f>
        <v>923.01666666666665</v>
      </c>
      <c r="M16" s="166">
        <f>ROUND((M10+M33)/6,1)-9+M96/6</f>
        <v>841.2166666666667</v>
      </c>
      <c r="N16" s="166">
        <f>ROUND((N10+N33)/6,1)-9+N96/6</f>
        <v>1283.0333333333333</v>
      </c>
      <c r="O16" s="14"/>
      <c r="P16" s="208"/>
      <c r="R16" s="213"/>
    </row>
    <row r="17" spans="1:18" s="175" customFormat="1" ht="20.100000000000001" customHeight="1">
      <c r="A17" s="214" t="s">
        <v>238</v>
      </c>
      <c r="B17" s="210">
        <v>1030</v>
      </c>
      <c r="C17" s="160"/>
      <c r="D17" s="166">
        <f>'[37]1.Фінансовий результат'!D15</f>
        <v>0</v>
      </c>
      <c r="E17" s="166"/>
      <c r="F17" s="166">
        <f>'[39]1.Фінансовий результат'!D17</f>
        <v>0</v>
      </c>
      <c r="G17" s="166"/>
      <c r="H17" s="166"/>
      <c r="I17" s="166"/>
      <c r="J17" s="268"/>
      <c r="K17" s="273"/>
      <c r="L17" s="273"/>
      <c r="M17" s="273"/>
      <c r="N17" s="273"/>
      <c r="O17" s="14"/>
      <c r="P17" s="208"/>
      <c r="R17" s="213"/>
    </row>
    <row r="18" spans="1:18" s="175" customFormat="1" ht="42" customHeight="1">
      <c r="A18" s="172" t="s">
        <v>90</v>
      </c>
      <c r="B18" s="173">
        <v>1040</v>
      </c>
      <c r="C18" s="159">
        <f t="shared" ref="C18:N18" si="1">C10-C16-C17</f>
        <v>3238.4999999999995</v>
      </c>
      <c r="D18" s="204">
        <f t="shared" si="1"/>
        <v>6294.0000000000009</v>
      </c>
      <c r="E18" s="204">
        <f t="shared" si="1"/>
        <v>8807.6999999999989</v>
      </c>
      <c r="F18" s="204">
        <f t="shared" si="1"/>
        <v>8651.2000000000007</v>
      </c>
      <c r="G18" s="204">
        <f t="shared" si="1"/>
        <v>11484.3</v>
      </c>
      <c r="H18" s="204">
        <f>H10-H16-H17</f>
        <v>9869.8000000000011</v>
      </c>
      <c r="I18" s="204">
        <v>16994.599999999999</v>
      </c>
      <c r="J18" s="204">
        <f t="shared" si="1"/>
        <v>16259.016666666666</v>
      </c>
      <c r="K18" s="204">
        <f t="shared" si="1"/>
        <v>5108.083333333333</v>
      </c>
      <c r="L18" s="204">
        <f t="shared" si="1"/>
        <v>3253.1833333333334</v>
      </c>
      <c r="M18" s="204">
        <f t="shared" si="1"/>
        <v>2844.2833333333333</v>
      </c>
      <c r="N18" s="204">
        <f t="shared" si="1"/>
        <v>5053.4666666666672</v>
      </c>
      <c r="O18" s="14"/>
      <c r="P18" s="208"/>
      <c r="R18" s="213"/>
    </row>
    <row r="19" spans="1:18" s="174" customFormat="1" ht="37.5" customHeight="1">
      <c r="A19" s="172" t="s">
        <v>108</v>
      </c>
      <c r="B19" s="173">
        <v>1050</v>
      </c>
      <c r="C19" s="161">
        <f t="shared" ref="C19:N19" si="2">SUM(C20:C27)</f>
        <v>2969.8</v>
      </c>
      <c r="D19" s="168">
        <f t="shared" ref="D19:J19" si="3">SUM(D20:D27)</f>
        <v>6673</v>
      </c>
      <c r="E19" s="168">
        <f t="shared" si="3"/>
        <v>8763.0000000000018</v>
      </c>
      <c r="F19" s="168">
        <f t="shared" si="3"/>
        <v>12600.9</v>
      </c>
      <c r="G19" s="168">
        <f t="shared" si="3"/>
        <v>17011</v>
      </c>
      <c r="H19" s="168">
        <f t="shared" si="3"/>
        <v>15150.600000000002</v>
      </c>
      <c r="I19" s="168">
        <v>24600.199999999997</v>
      </c>
      <c r="J19" s="168">
        <f t="shared" si="3"/>
        <v>23318.316666666666</v>
      </c>
      <c r="K19" s="168">
        <f t="shared" si="2"/>
        <v>6734.1333333333332</v>
      </c>
      <c r="L19" s="168">
        <f t="shared" si="2"/>
        <v>5053.4333333333334</v>
      </c>
      <c r="M19" s="168">
        <f t="shared" si="2"/>
        <v>4661.6333333333332</v>
      </c>
      <c r="N19" s="168">
        <f t="shared" si="2"/>
        <v>6869.1166666666668</v>
      </c>
      <c r="O19" s="14"/>
      <c r="P19" s="208"/>
      <c r="Q19" s="249"/>
      <c r="R19" s="213"/>
    </row>
    <row r="20" spans="1:18" s="177" customFormat="1" ht="20.100000000000001" customHeight="1">
      <c r="A20" s="180" t="s">
        <v>210</v>
      </c>
      <c r="B20" s="215">
        <v>1051</v>
      </c>
      <c r="C20" s="154">
        <f>'[36]Факт 2015'!V28</f>
        <v>11.500000000000009</v>
      </c>
      <c r="D20" s="166">
        <f>'[37]1.Фінансовий результат'!D18</f>
        <v>26.9</v>
      </c>
      <c r="E20" s="166">
        <f>'[38]1.Фінансовий результат'!D18</f>
        <v>25.799999999999997</v>
      </c>
      <c r="F20" s="166">
        <f>'[39]1.Фінансовий результат'!D20</f>
        <v>19.899999999999999</v>
      </c>
      <c r="G20" s="166">
        <f>'[40]1.Фінансовий результат'!H20</f>
        <v>11.2</v>
      </c>
      <c r="H20" s="166">
        <f>'[41]1.Фінансовий результат'!D20</f>
        <v>6.8000000000000007</v>
      </c>
      <c r="I20" s="166">
        <v>12.4</v>
      </c>
      <c r="J20" s="166">
        <f>SUM(K20:N20)</f>
        <v>12.4</v>
      </c>
      <c r="K20" s="166">
        <f>'[42]ФП форма 3'!Z33</f>
        <v>3.1</v>
      </c>
      <c r="L20" s="166">
        <f>$K$20</f>
        <v>3.1</v>
      </c>
      <c r="M20" s="166">
        <f t="shared" ref="M20:N20" si="4">$K$20</f>
        <v>3.1</v>
      </c>
      <c r="N20" s="166">
        <f t="shared" si="4"/>
        <v>3.1</v>
      </c>
      <c r="O20" s="14"/>
      <c r="P20" s="208"/>
      <c r="R20" s="213"/>
    </row>
    <row r="21" spans="1:18" s="177" customFormat="1" ht="20.100000000000001" customHeight="1">
      <c r="A21" s="180" t="s">
        <v>51</v>
      </c>
      <c r="B21" s="215">
        <v>1052</v>
      </c>
      <c r="C21" s="154">
        <f>'[36]Факт 2015'!V29</f>
        <v>45.1</v>
      </c>
      <c r="D21" s="166">
        <f>'[37]1.Фінансовий результат'!D19</f>
        <v>22.600000000000005</v>
      </c>
      <c r="E21" s="166">
        <f>'[38]1.Фінансовий результат'!D19</f>
        <v>47.8</v>
      </c>
      <c r="F21" s="166">
        <f>'[39]1.Фінансовий результат'!D21</f>
        <v>50.1</v>
      </c>
      <c r="G21" s="166">
        <f>'[40]1.Фінансовий результат'!H21</f>
        <v>87.2</v>
      </c>
      <c r="H21" s="166">
        <f>'[41]1.Фінансовий результат'!D21</f>
        <v>28</v>
      </c>
      <c r="I21" s="166">
        <v>161.6</v>
      </c>
      <c r="J21" s="166">
        <f t="shared" ref="J21:J73" si="5">SUM(K21:N21)</f>
        <v>161.6</v>
      </c>
      <c r="K21" s="166">
        <f>ROUND([42]Фінпідтримка!M74/1.2,1)</f>
        <v>40.4</v>
      </c>
      <c r="L21" s="166">
        <f>ROUND([42]Фінпідтримка!P74/1.2,1)</f>
        <v>40.4</v>
      </c>
      <c r="M21" s="166">
        <f>ROUND([42]Фінпідтримка!S74/1.2,1)</f>
        <v>40.4</v>
      </c>
      <c r="N21" s="166">
        <f>ROUND([42]Фінпідтримка!V74/1.2,1)</f>
        <v>40.4</v>
      </c>
      <c r="O21" s="14"/>
      <c r="P21" s="208"/>
      <c r="R21" s="213"/>
    </row>
    <row r="22" spans="1:18" s="177" customFormat="1" ht="20.100000000000001" customHeight="1">
      <c r="A22" s="180" t="s">
        <v>50</v>
      </c>
      <c r="B22" s="215">
        <v>1053</v>
      </c>
      <c r="C22" s="154">
        <f>'[36]Факт 2015'!V30-C63</f>
        <v>2385.4</v>
      </c>
      <c r="D22" s="166">
        <f>'[37]1.Фінансовий результат'!D20</f>
        <v>4748</v>
      </c>
      <c r="E22" s="166">
        <f>'[38]1.Фінансовий результат'!D20</f>
        <v>8149.2000000000007</v>
      </c>
      <c r="F22" s="166">
        <f>'[39]1.Фінансовий результат'!D22</f>
        <v>8426.9000000000015</v>
      </c>
      <c r="G22" s="166">
        <f>'[40]1.Фінансовий результат'!H22</f>
        <v>10605</v>
      </c>
      <c r="H22" s="166">
        <f>'[41]1.Фінансовий результат'!D22</f>
        <v>9814.9000000000015</v>
      </c>
      <c r="I22" s="166">
        <v>15967.3</v>
      </c>
      <c r="J22" s="166">
        <f t="shared" si="5"/>
        <v>15967.3</v>
      </c>
      <c r="K22" s="166">
        <f>'[42]ФП форма 3'!Z35-K63</f>
        <v>5038</v>
      </c>
      <c r="L22" s="166">
        <f>'[42]ФП форма 3'!AD35-L63</f>
        <v>3188.8</v>
      </c>
      <c r="M22" s="166">
        <f>'[42]ФП форма 3'!AH35-M63</f>
        <v>2769.9</v>
      </c>
      <c r="N22" s="166">
        <f>'[42]ФП форма 3'!AL35-N63</f>
        <v>4970.6000000000004</v>
      </c>
      <c r="O22" s="14"/>
      <c r="P22" s="208"/>
      <c r="R22" s="213"/>
    </row>
    <row r="23" spans="1:18" s="177" customFormat="1">
      <c r="A23" s="180" t="s">
        <v>26</v>
      </c>
      <c r="B23" s="215">
        <v>1054</v>
      </c>
      <c r="C23" s="154">
        <f>'[36]Факт 2015'!V31</f>
        <v>329</v>
      </c>
      <c r="D23" s="166">
        <f>'[37]1.Фінансовий результат'!D21-228.5</f>
        <v>257.59999999999997</v>
      </c>
      <c r="E23" s="166">
        <f>'[38]1.Фінансовий результат'!$D$21-321.5</f>
        <v>312.60000000000002</v>
      </c>
      <c r="F23" s="166">
        <f>'[39]1.Фінансовий результат'!D23</f>
        <v>397.5</v>
      </c>
      <c r="G23" s="166">
        <f>'[40]1.Фінансовий результат'!H23</f>
        <v>527.1</v>
      </c>
      <c r="H23" s="166">
        <f>'[41]1.Фінансовий результат'!D23</f>
        <v>647.6</v>
      </c>
      <c r="I23" s="166">
        <v>1258.3</v>
      </c>
      <c r="J23" s="166">
        <f t="shared" si="5"/>
        <v>1979.2</v>
      </c>
      <c r="K23" s="166">
        <f>'[42]ФП форма 3'!Z36-26.2+64.8+4.6+0.2</f>
        <v>376.40000000000003</v>
      </c>
      <c r="L23" s="166">
        <f>'[42]ФП форма 3'!AD36-26.2+194+15.8</f>
        <v>516.6</v>
      </c>
      <c r="M23" s="166">
        <f>'[42]ФП форма 3'!AH36-26.3+194.6+25.1</f>
        <v>540.20000000000005</v>
      </c>
      <c r="N23" s="166">
        <f>'[42]ФП форма 3'!AL36-26.3+195.3+36.7-10.2</f>
        <v>546</v>
      </c>
      <c r="O23" s="14"/>
      <c r="P23" s="208"/>
      <c r="R23" s="213"/>
    </row>
    <row r="24" spans="1:18" s="177" customFormat="1">
      <c r="A24" s="180" t="s">
        <v>27</v>
      </c>
      <c r="B24" s="215">
        <v>1055</v>
      </c>
      <c r="C24" s="154">
        <f>'[36]Факт 2015'!V32</f>
        <v>120</v>
      </c>
      <c r="D24" s="166">
        <f>'[37]1.Фінансовий результат'!D22-50.7</f>
        <v>57.200000000000017</v>
      </c>
      <c r="E24" s="166">
        <f>'[38]1.Фінансовий результат'!$D$22-71.9</f>
        <v>68.099999999999994</v>
      </c>
      <c r="F24" s="166">
        <f>'[39]1.Фінансовий результат'!D24</f>
        <v>87.3</v>
      </c>
      <c r="G24" s="166">
        <f>'[40]1.Фінансовий результат'!H24</f>
        <v>116.1</v>
      </c>
      <c r="H24" s="166">
        <f>'[41]1.Фінансовий результат'!D24</f>
        <v>140.80000000000001</v>
      </c>
      <c r="I24" s="166">
        <v>277</v>
      </c>
      <c r="J24" s="166">
        <f t="shared" si="5"/>
        <v>419.59999999999997</v>
      </c>
      <c r="K24" s="166">
        <f>'[42]ФП форма 3'!Z37-5.7+14.2</f>
        <v>81.7</v>
      </c>
      <c r="L24" s="166">
        <f>'[42]ФП форма 3'!AD37-5.7+42.6</f>
        <v>110</v>
      </c>
      <c r="M24" s="166">
        <f>'[42]ФП форма 3'!AH37-5.7+42.8</f>
        <v>113.49999999999999</v>
      </c>
      <c r="N24" s="166">
        <f>'[42]ФП форма 3'!AL37-5.7+43</f>
        <v>114.39999999999999</v>
      </c>
      <c r="O24" s="14"/>
      <c r="P24" s="208"/>
      <c r="R24" s="213"/>
    </row>
    <row r="25" spans="1:18" s="177" customFormat="1" ht="75">
      <c r="A25" s="180" t="s">
        <v>320</v>
      </c>
      <c r="B25" s="215">
        <v>1056</v>
      </c>
      <c r="C25" s="154"/>
      <c r="D25" s="166">
        <f>'[37]1.Фінансовий результат'!D23</f>
        <v>772.2</v>
      </c>
      <c r="E25" s="166">
        <f>'[38]1.Фінансовий результат'!D23</f>
        <v>113.6</v>
      </c>
      <c r="F25" s="166">
        <f>'[39]1.Фінансовий результат'!D25</f>
        <v>27.9</v>
      </c>
      <c r="G25" s="166">
        <f>'[40]1.Фінансовий результат'!H25</f>
        <v>204.4</v>
      </c>
      <c r="H25" s="166">
        <f>'[41]1.Фінансовий результат'!D25</f>
        <v>34.700000000000003</v>
      </c>
      <c r="I25" s="166">
        <v>375.2</v>
      </c>
      <c r="J25" s="166">
        <f t="shared" si="5"/>
        <v>210.2</v>
      </c>
      <c r="K25" s="166">
        <f>ROUND([42]Фінпідтримка!M75/1.2,1)-41.25</f>
        <v>52.55</v>
      </c>
      <c r="L25" s="166">
        <f>ROUND([42]Фінпідтримка!P75/1.2,1)-41.25</f>
        <v>52.55</v>
      </c>
      <c r="M25" s="166">
        <f>ROUND([42]Фінпідтримка!S75/1.2,1)-41.25</f>
        <v>52.55</v>
      </c>
      <c r="N25" s="166">
        <f>ROUND([42]Фінпідтримка!V75/1.2,1)-41.25</f>
        <v>52.55</v>
      </c>
      <c r="O25" s="14"/>
      <c r="P25" s="208"/>
      <c r="R25" s="213"/>
    </row>
    <row r="26" spans="1:18" s="177" customFormat="1" ht="37.5">
      <c r="A26" s="180" t="s">
        <v>49</v>
      </c>
      <c r="B26" s="215">
        <v>1057</v>
      </c>
      <c r="C26" s="154">
        <f>'[36]Факт 2015'!V33-C87</f>
        <v>69.400000000000091</v>
      </c>
      <c r="D26" s="166">
        <f>'[37]1.Фінансовий результат'!D24-D87</f>
        <v>767.00000000000045</v>
      </c>
      <c r="E26" s="166">
        <v>22.8</v>
      </c>
      <c r="F26" s="166">
        <f>'[39]1.Фінансовий результат'!D26</f>
        <v>156.9</v>
      </c>
      <c r="G26" s="166">
        <f>'[40]1.Фінансовий результат'!H26</f>
        <v>22.8</v>
      </c>
      <c r="H26" s="166">
        <f>'[41]1.Фінансовий результат'!D26</f>
        <v>222</v>
      </c>
      <c r="I26" s="166">
        <v>22.8</v>
      </c>
      <c r="J26" s="166">
        <f t="shared" si="5"/>
        <v>22.8</v>
      </c>
      <c r="K26" s="166">
        <v>5.7</v>
      </c>
      <c r="L26" s="166">
        <v>5.7</v>
      </c>
      <c r="M26" s="166">
        <v>5.7</v>
      </c>
      <c r="N26" s="166">
        <v>5.7</v>
      </c>
      <c r="O26" s="14"/>
      <c r="P26" s="208"/>
      <c r="R26" s="213"/>
    </row>
    <row r="27" spans="1:18" s="177" customFormat="1" ht="20.100000000000001" customHeight="1">
      <c r="A27" s="180" t="s">
        <v>106</v>
      </c>
      <c r="B27" s="215">
        <v>1058</v>
      </c>
      <c r="C27" s="154">
        <f>SUM(C28:C28)</f>
        <v>9.4</v>
      </c>
      <c r="D27" s="166">
        <f>SUM(D28:D28)</f>
        <v>21.5</v>
      </c>
      <c r="E27" s="166">
        <f t="shared" ref="E27:N27" si="6">SUM(E28:E29)</f>
        <v>23.1</v>
      </c>
      <c r="F27" s="166">
        <f t="shared" si="6"/>
        <v>3434.4</v>
      </c>
      <c r="G27" s="166">
        <f t="shared" si="6"/>
        <v>5437.2</v>
      </c>
      <c r="H27" s="166">
        <f t="shared" si="6"/>
        <v>4255.8</v>
      </c>
      <c r="I27" s="166">
        <v>6525.5999999999995</v>
      </c>
      <c r="J27" s="166">
        <f t="shared" si="6"/>
        <v>4545.2166666666662</v>
      </c>
      <c r="K27" s="166">
        <f t="shared" si="6"/>
        <v>1136.2833333333333</v>
      </c>
      <c r="L27" s="166">
        <f t="shared" si="6"/>
        <v>1136.2833333333333</v>
      </c>
      <c r="M27" s="166">
        <f t="shared" si="6"/>
        <v>1136.2833333333333</v>
      </c>
      <c r="N27" s="166">
        <f t="shared" si="6"/>
        <v>1136.3666666666666</v>
      </c>
      <c r="O27" s="14"/>
      <c r="P27" s="208"/>
      <c r="R27" s="213"/>
    </row>
    <row r="28" spans="1:18" s="222" customFormat="1" ht="20.100000000000001" customHeight="1">
      <c r="A28" s="221" t="s">
        <v>287</v>
      </c>
      <c r="B28" s="218">
        <v>1</v>
      </c>
      <c r="C28" s="163">
        <f>'[36]Факт 2015'!V38</f>
        <v>9.4</v>
      </c>
      <c r="D28" s="223">
        <f>'[37]1.Фінансовий результат'!D30</f>
        <v>21.5</v>
      </c>
      <c r="E28" s="223">
        <f>'[38]1.Фінансовий результат'!$D$30</f>
        <v>23.1</v>
      </c>
      <c r="F28" s="223">
        <f>'[39]1.Фінансовий результат'!D28</f>
        <v>31.299999999999997</v>
      </c>
      <c r="G28" s="223">
        <f>'[40]1.Фінансовий результат'!H28</f>
        <v>37.200000000000003</v>
      </c>
      <c r="H28" s="223">
        <f>'[41]1.Фінансовий результат'!D28</f>
        <v>35.800000000000004</v>
      </c>
      <c r="I28" s="223">
        <v>40.799999999999997</v>
      </c>
      <c r="J28" s="219">
        <f t="shared" si="5"/>
        <v>40.799999999999997</v>
      </c>
      <c r="K28" s="223">
        <f>'[42]ФП форма 3'!Z43</f>
        <v>10.199999999999999</v>
      </c>
      <c r="L28" s="223">
        <f>'[42]ФП форма 3'!AD43</f>
        <v>10.199999999999999</v>
      </c>
      <c r="M28" s="223">
        <f>'[42]ФП форма 3'!AH43</f>
        <v>10.199999999999999</v>
      </c>
      <c r="N28" s="223">
        <f>'[42]ФП форма 3'!AL43</f>
        <v>10.199999999999999</v>
      </c>
      <c r="O28" s="239"/>
      <c r="P28" s="15"/>
      <c r="R28" s="240"/>
    </row>
    <row r="29" spans="1:18" s="222" customFormat="1" ht="33">
      <c r="A29" s="221" t="s">
        <v>351</v>
      </c>
      <c r="B29" s="218">
        <v>2</v>
      </c>
      <c r="C29" s="163">
        <f>'[36]Факт 2015'!V39</f>
        <v>0</v>
      </c>
      <c r="D29" s="223">
        <f>'[37]1.Фінансовий результат'!D31</f>
        <v>0</v>
      </c>
      <c r="E29" s="223"/>
      <c r="F29" s="223">
        <f>'[39]1.Фінансовий результат'!D29</f>
        <v>3403.1</v>
      </c>
      <c r="G29" s="223">
        <f>'[40]1.Фінансовий результат'!H29</f>
        <v>5400</v>
      </c>
      <c r="H29" s="223">
        <f>'[41]1.Фінансовий результат'!D29</f>
        <v>4220</v>
      </c>
      <c r="I29" s="223">
        <v>6484.7999999999993</v>
      </c>
      <c r="J29" s="219">
        <f>SUM(K29:N29)</f>
        <v>4504.4166666666661</v>
      </c>
      <c r="K29" s="219">
        <f>K96/1.2</f>
        <v>1126.0833333333333</v>
      </c>
      <c r="L29" s="219">
        <f t="shared" ref="L29:N29" si="7">L96/1.2</f>
        <v>1126.0833333333333</v>
      </c>
      <c r="M29" s="219">
        <f t="shared" si="7"/>
        <v>1126.0833333333333</v>
      </c>
      <c r="N29" s="219">
        <f t="shared" si="7"/>
        <v>1126.1666666666665</v>
      </c>
      <c r="O29" s="239"/>
      <c r="P29" s="15"/>
      <c r="R29" s="240"/>
    </row>
    <row r="30" spans="1:18" s="106" customFormat="1" ht="31.5" customHeight="1">
      <c r="A30" s="104" t="s">
        <v>256</v>
      </c>
      <c r="B30" s="105">
        <v>1060</v>
      </c>
      <c r="C30" s="153">
        <f t="shared" ref="C30:N30" si="8">C18-C19</f>
        <v>268.69999999999936</v>
      </c>
      <c r="D30" s="124">
        <f t="shared" si="8"/>
        <v>-378.99999999999909</v>
      </c>
      <c r="E30" s="124">
        <f t="shared" si="8"/>
        <v>44.69999999999709</v>
      </c>
      <c r="F30" s="124">
        <f t="shared" si="8"/>
        <v>-3949.6999999999989</v>
      </c>
      <c r="G30" s="124">
        <f t="shared" si="8"/>
        <v>-5526.7000000000007</v>
      </c>
      <c r="H30" s="124">
        <f t="shared" si="8"/>
        <v>-5280.8000000000011</v>
      </c>
      <c r="I30" s="124">
        <v>-7605.5999999999985</v>
      </c>
      <c r="J30" s="124">
        <f t="shared" si="8"/>
        <v>-7059.2999999999993</v>
      </c>
      <c r="K30" s="124">
        <f t="shared" si="8"/>
        <v>-1626.0500000000002</v>
      </c>
      <c r="L30" s="124">
        <f t="shared" si="8"/>
        <v>-1800.25</v>
      </c>
      <c r="M30" s="124">
        <f t="shared" si="8"/>
        <v>-1817.35</v>
      </c>
      <c r="N30" s="124">
        <f t="shared" si="8"/>
        <v>-1815.6499999999996</v>
      </c>
      <c r="O30" s="14"/>
      <c r="P30" s="208"/>
      <c r="R30" s="198"/>
    </row>
    <row r="31" spans="1:18" ht="37.5">
      <c r="A31" s="10" t="s">
        <v>174</v>
      </c>
      <c r="B31" s="11">
        <v>1070</v>
      </c>
      <c r="C31" s="161">
        <f t="shared" ref="C31:N31" si="9">SUM(C32:C34)</f>
        <v>954.09999999999991</v>
      </c>
      <c r="D31" s="168">
        <f t="shared" si="9"/>
        <v>1611.8999999999999</v>
      </c>
      <c r="E31" s="168">
        <f t="shared" si="9"/>
        <v>2583.8000000000002</v>
      </c>
      <c r="F31" s="168">
        <f t="shared" si="9"/>
        <v>2946.5999999999995</v>
      </c>
      <c r="G31" s="168">
        <f t="shared" si="9"/>
        <v>3447.5</v>
      </c>
      <c r="H31" s="168">
        <f t="shared" si="9"/>
        <v>4997.2</v>
      </c>
      <c r="I31" s="168">
        <v>4509.8</v>
      </c>
      <c r="J31" s="127">
        <f t="shared" si="9"/>
        <v>4509.8</v>
      </c>
      <c r="K31" s="127">
        <f t="shared" si="9"/>
        <v>1030.8</v>
      </c>
      <c r="L31" s="127">
        <f t="shared" si="9"/>
        <v>1079.3</v>
      </c>
      <c r="M31" s="127">
        <f t="shared" si="9"/>
        <v>1161.3000000000002</v>
      </c>
      <c r="N31" s="127">
        <f t="shared" si="9"/>
        <v>1238.4000000000001</v>
      </c>
      <c r="O31" s="14"/>
      <c r="P31" s="208"/>
      <c r="R31" s="198"/>
    </row>
    <row r="32" spans="1:18" s="220" customFormat="1" ht="20.100000000000001" customHeight="1">
      <c r="A32" s="217" t="s">
        <v>301</v>
      </c>
      <c r="B32" s="218">
        <v>1</v>
      </c>
      <c r="C32" s="164">
        <f>'[36]Факт 2015'!$V$23</f>
        <v>699.3</v>
      </c>
      <c r="D32" s="223">
        <f>'[37]1.Фінансовий результат'!D38</f>
        <v>1296.5999999999999</v>
      </c>
      <c r="E32" s="223">
        <f>'[38]1.Фінансовий результат'!D38</f>
        <v>2240.3000000000002</v>
      </c>
      <c r="F32" s="223">
        <f>'[39]1.Фінансовий результат'!D32</f>
        <v>2666.3999999999996</v>
      </c>
      <c r="G32" s="223">
        <f>'[40]1.Фінансовий результат'!H32</f>
        <v>3213.5</v>
      </c>
      <c r="H32" s="223">
        <f>'[41]1.Фінансовий результат'!D32</f>
        <v>4844.7</v>
      </c>
      <c r="I32" s="223">
        <v>4252.2</v>
      </c>
      <c r="J32" s="219">
        <f t="shared" si="5"/>
        <v>4252.2</v>
      </c>
      <c r="K32" s="223">
        <f>'[42]ФП форма 3'!Z28</f>
        <v>966.4</v>
      </c>
      <c r="L32" s="223">
        <f>'[42]ФП форма 3'!AD28</f>
        <v>1014.9</v>
      </c>
      <c r="M32" s="223">
        <f>'[42]ФП форма 3'!AH28</f>
        <v>1096.9000000000001</v>
      </c>
      <c r="N32" s="223">
        <f>'[42]ФП форма 3'!AL28</f>
        <v>1174</v>
      </c>
      <c r="O32" s="239"/>
      <c r="P32" s="15"/>
      <c r="R32" s="240"/>
    </row>
    <row r="33" spans="1:18" s="220" customFormat="1" ht="20.100000000000001" customHeight="1">
      <c r="A33" s="217" t="s">
        <v>308</v>
      </c>
      <c r="B33" s="218">
        <v>2</v>
      </c>
      <c r="C33" s="164">
        <v>254.8</v>
      </c>
      <c r="D33" s="223">
        <f>'[37]1.Фінансовий результат'!D39</f>
        <v>314.5</v>
      </c>
      <c r="E33" s="223">
        <f>'[38]1.Фінансовий результат'!D39</f>
        <v>342.7</v>
      </c>
      <c r="F33" s="223">
        <f>'[39]1.Фінансовий результат'!D33</f>
        <v>276.5</v>
      </c>
      <c r="G33" s="223">
        <f>'[40]1.Фінансовий результат'!H33</f>
        <v>234</v>
      </c>
      <c r="H33" s="223">
        <f>'[41]1.Фінансовий результат'!D33</f>
        <v>152</v>
      </c>
      <c r="I33" s="223">
        <v>257.60000000000002</v>
      </c>
      <c r="J33" s="219">
        <f>SUM(K33:N33)</f>
        <v>257.60000000000002</v>
      </c>
      <c r="K33" s="219">
        <f>'[42]бюджет доходів'!$H$67</f>
        <v>64.400000000000006</v>
      </c>
      <c r="L33" s="219">
        <f>K33</f>
        <v>64.400000000000006</v>
      </c>
      <c r="M33" s="219">
        <f>L33</f>
        <v>64.400000000000006</v>
      </c>
      <c r="N33" s="219">
        <f>M33</f>
        <v>64.400000000000006</v>
      </c>
      <c r="O33" s="239"/>
      <c r="P33" s="15"/>
      <c r="R33" s="240"/>
    </row>
    <row r="34" spans="1:18" s="220" customFormat="1" ht="20.100000000000001" customHeight="1">
      <c r="A34" s="217" t="s">
        <v>307</v>
      </c>
      <c r="B34" s="218">
        <v>3</v>
      </c>
      <c r="C34" s="164"/>
      <c r="D34" s="223">
        <f>'[37]1.Фінансовий результат'!D40</f>
        <v>0.8</v>
      </c>
      <c r="E34" s="223">
        <f>'[38]1.Фінансовий результат'!D40</f>
        <v>0.8</v>
      </c>
      <c r="F34" s="223">
        <f>'[39]1.Фінансовий результат'!D34</f>
        <v>3.7</v>
      </c>
      <c r="G34" s="223">
        <f>'[40]1.Фінансовий результат'!H34</f>
        <v>0</v>
      </c>
      <c r="H34" s="223">
        <f>'[41]1.Фінансовий результат'!D34</f>
        <v>0.5</v>
      </c>
      <c r="I34" s="223">
        <v>0</v>
      </c>
      <c r="J34" s="219">
        <f t="shared" si="5"/>
        <v>0</v>
      </c>
      <c r="K34" s="219"/>
      <c r="L34" s="219"/>
      <c r="M34" s="219"/>
      <c r="N34" s="219"/>
      <c r="O34" s="239"/>
      <c r="P34" s="15"/>
      <c r="R34" s="240"/>
    </row>
    <row r="35" spans="1:18" s="174" customFormat="1" ht="20.100000000000001" customHeight="1">
      <c r="A35" s="172" t="s">
        <v>181</v>
      </c>
      <c r="B35" s="173">
        <v>1080</v>
      </c>
      <c r="C35" s="159">
        <f t="shared" ref="C35:M35" si="10">SUM(C36:C58)</f>
        <v>873.69999999999993</v>
      </c>
      <c r="D35" s="204">
        <f t="shared" si="10"/>
        <v>1267.9000000000001</v>
      </c>
      <c r="E35" s="204">
        <f t="shared" si="10"/>
        <v>1600.8</v>
      </c>
      <c r="F35" s="204">
        <f t="shared" si="10"/>
        <v>2014.2000000000003</v>
      </c>
      <c r="G35" s="204">
        <f t="shared" si="10"/>
        <v>2523.3999999999996</v>
      </c>
      <c r="H35" s="204">
        <f t="shared" si="10"/>
        <v>2348.3000000000002</v>
      </c>
      <c r="I35" s="204">
        <v>3030.4</v>
      </c>
      <c r="J35" s="204">
        <f t="shared" si="10"/>
        <v>5164.7000000000016</v>
      </c>
      <c r="K35" s="204">
        <f t="shared" si="10"/>
        <v>977.59999999999991</v>
      </c>
      <c r="L35" s="204">
        <f t="shared" si="10"/>
        <v>1357.1000000000001</v>
      </c>
      <c r="M35" s="204">
        <f t="shared" si="10"/>
        <v>1408.8</v>
      </c>
      <c r="N35" s="204">
        <f>SUM(N36:N58)</f>
        <v>1421.2</v>
      </c>
      <c r="O35" s="14"/>
      <c r="P35" s="208"/>
      <c r="Q35" s="250"/>
      <c r="R35" s="213"/>
    </row>
    <row r="36" spans="1:18" s="174" customFormat="1" ht="37.5">
      <c r="A36" s="180" t="s">
        <v>89</v>
      </c>
      <c r="B36" s="215">
        <v>1081</v>
      </c>
      <c r="C36" s="165"/>
      <c r="D36" s="166">
        <f>'[37]1.Фінансовий результат'!D42</f>
        <v>0</v>
      </c>
      <c r="E36" s="166">
        <f>'[45]1.Фінансовий результат'!D42+'[46]1.Фінансовий результат'!K42</f>
        <v>0</v>
      </c>
      <c r="F36" s="166">
        <f>'[39]1.Фінансовий результат'!D36</f>
        <v>0</v>
      </c>
      <c r="G36" s="166">
        <f>'[47]1.Фінансовий результат'!G33</f>
        <v>0</v>
      </c>
      <c r="H36" s="166">
        <f>'[41]1.Фінансовий результат'!D36</f>
        <v>0</v>
      </c>
      <c r="I36" s="166">
        <v>0</v>
      </c>
      <c r="J36" s="166">
        <f t="shared" si="5"/>
        <v>0</v>
      </c>
      <c r="K36" s="166"/>
      <c r="L36" s="166"/>
      <c r="M36" s="166"/>
      <c r="N36" s="166"/>
      <c r="O36" s="25"/>
      <c r="P36" s="208"/>
      <c r="R36" s="250"/>
    </row>
    <row r="37" spans="1:18" s="174" customFormat="1" ht="20.100000000000001" customHeight="1">
      <c r="A37" s="180" t="s">
        <v>171</v>
      </c>
      <c r="B37" s="215">
        <v>1082</v>
      </c>
      <c r="C37" s="165"/>
      <c r="D37" s="166">
        <f>'[37]1.Фінансовий результат'!D43</f>
        <v>0</v>
      </c>
      <c r="E37" s="166">
        <f>'[45]1.Фінансовий результат'!D43+'[46]1.Фінансовий результат'!K43</f>
        <v>0</v>
      </c>
      <c r="F37" s="166">
        <f>'[39]1.Фінансовий результат'!D37</f>
        <v>0</v>
      </c>
      <c r="G37" s="166">
        <f>'[47]1.Фінансовий результат'!G34</f>
        <v>0</v>
      </c>
      <c r="H37" s="166">
        <f>'[41]1.Фінансовий результат'!D37</f>
        <v>0</v>
      </c>
      <c r="I37" s="166">
        <v>0</v>
      </c>
      <c r="J37" s="166">
        <f t="shared" si="5"/>
        <v>0</v>
      </c>
      <c r="K37" s="166"/>
      <c r="L37" s="166"/>
      <c r="M37" s="166"/>
      <c r="N37" s="166"/>
      <c r="O37" s="25"/>
      <c r="P37" s="208"/>
      <c r="R37" s="250"/>
    </row>
    <row r="38" spans="1:18" s="174" customFormat="1" ht="20.100000000000001" customHeight="1">
      <c r="A38" s="180" t="s">
        <v>48</v>
      </c>
      <c r="B38" s="215">
        <v>1083</v>
      </c>
      <c r="C38" s="165"/>
      <c r="D38" s="166">
        <f>'[37]1.Фінансовий результат'!D44</f>
        <v>0</v>
      </c>
      <c r="E38" s="166">
        <f>'[45]1.Фінансовий результат'!D44+'[46]1.Фінансовий результат'!K44</f>
        <v>0</v>
      </c>
      <c r="F38" s="166">
        <f>'[39]1.Фінансовий результат'!D38</f>
        <v>0</v>
      </c>
      <c r="G38" s="166">
        <f>'[47]1.Фінансовий результат'!G35</f>
        <v>0</v>
      </c>
      <c r="H38" s="166">
        <f>'[41]1.Фінансовий результат'!D38</f>
        <v>0</v>
      </c>
      <c r="I38" s="166">
        <v>0</v>
      </c>
      <c r="J38" s="166">
        <f t="shared" si="5"/>
        <v>0</v>
      </c>
      <c r="K38" s="166"/>
      <c r="L38" s="166"/>
      <c r="M38" s="166"/>
      <c r="N38" s="166"/>
      <c r="O38" s="25"/>
      <c r="P38" s="208"/>
      <c r="R38" s="250"/>
    </row>
    <row r="39" spans="1:18" s="174" customFormat="1" ht="20.100000000000001" customHeight="1">
      <c r="A39" s="180" t="s">
        <v>9</v>
      </c>
      <c r="B39" s="215">
        <v>1084</v>
      </c>
      <c r="C39" s="165"/>
      <c r="D39" s="166">
        <f>'[37]1.Фінансовий результат'!D45</f>
        <v>0</v>
      </c>
      <c r="E39" s="166">
        <f>'[45]1.Фінансовий результат'!D45+'[46]1.Фінансовий результат'!K45</f>
        <v>0</v>
      </c>
      <c r="F39" s="166">
        <f>'[39]1.Фінансовий результат'!D39</f>
        <v>0</v>
      </c>
      <c r="G39" s="166">
        <f>'[47]1.Фінансовий результат'!G36</f>
        <v>0</v>
      </c>
      <c r="H39" s="166">
        <f>'[41]1.Фінансовий результат'!D39</f>
        <v>0</v>
      </c>
      <c r="I39" s="166">
        <v>0</v>
      </c>
      <c r="J39" s="166">
        <f t="shared" si="5"/>
        <v>0</v>
      </c>
      <c r="K39" s="166"/>
      <c r="L39" s="166"/>
      <c r="M39" s="166"/>
      <c r="N39" s="166"/>
      <c r="O39" s="25"/>
      <c r="P39" s="208"/>
      <c r="R39" s="250"/>
    </row>
    <row r="40" spans="1:18" s="174" customFormat="1" ht="20.100000000000001" customHeight="1">
      <c r="A40" s="180" t="s">
        <v>10</v>
      </c>
      <c r="B40" s="215">
        <v>1085</v>
      </c>
      <c r="C40" s="154">
        <f>'[48]Факт 2015'!$V$58</f>
        <v>8</v>
      </c>
      <c r="D40" s="166">
        <f>'[37]1.Фінансовий результат'!D46</f>
        <v>0</v>
      </c>
      <c r="E40" s="166">
        <f>'[45]1.Фінансовий результат'!D46+'[46]1.Фінансовий результат'!K46</f>
        <v>0</v>
      </c>
      <c r="F40" s="166">
        <f>'[39]1.Фінансовий результат'!D40</f>
        <v>0</v>
      </c>
      <c r="G40" s="166">
        <f>'[40]1.Фінансовий результат'!H40</f>
        <v>35</v>
      </c>
      <c r="H40" s="166">
        <f>'[41]1.Фінансовий результат'!D40</f>
        <v>0</v>
      </c>
      <c r="I40" s="166">
        <v>35</v>
      </c>
      <c r="J40" s="166">
        <f t="shared" si="5"/>
        <v>35</v>
      </c>
      <c r="K40" s="166">
        <v>35</v>
      </c>
      <c r="L40" s="166"/>
      <c r="M40" s="166"/>
      <c r="N40" s="166">
        <f>'[49]Фінплан 2017'!AL60</f>
        <v>0</v>
      </c>
      <c r="O40" s="25"/>
      <c r="P40" s="208"/>
      <c r="R40" s="250"/>
    </row>
    <row r="41" spans="1:18" s="177" customFormat="1" ht="20.100000000000001" customHeight="1">
      <c r="A41" s="180" t="s">
        <v>24</v>
      </c>
      <c r="B41" s="215">
        <v>1086</v>
      </c>
      <c r="C41" s="154"/>
      <c r="D41" s="166">
        <f>'[37]1.Фінансовий результат'!D47</f>
        <v>0</v>
      </c>
      <c r="E41" s="166">
        <f>'[45]1.Фінансовий результат'!D47+'[46]1.Фінансовий результат'!K47</f>
        <v>0</v>
      </c>
      <c r="F41" s="166">
        <f>'[39]1.Фінансовий результат'!D41</f>
        <v>0</v>
      </c>
      <c r="G41" s="166">
        <f>'[40]1.Фінансовий результат'!H41</f>
        <v>0</v>
      </c>
      <c r="H41" s="166">
        <f>'[41]1.Фінансовий результат'!D41</f>
        <v>0</v>
      </c>
      <c r="I41" s="166">
        <v>0</v>
      </c>
      <c r="J41" s="166">
        <f t="shared" si="5"/>
        <v>0</v>
      </c>
      <c r="K41" s="227"/>
      <c r="L41" s="227"/>
      <c r="M41" s="227"/>
      <c r="N41" s="227"/>
      <c r="O41" s="25"/>
      <c r="P41" s="208"/>
      <c r="R41" s="250"/>
    </row>
    <row r="42" spans="1:18" s="177" customFormat="1" ht="20.100000000000001" customHeight="1">
      <c r="A42" s="180" t="s">
        <v>25</v>
      </c>
      <c r="B42" s="215">
        <v>1087</v>
      </c>
      <c r="C42" s="154">
        <f>'[36]Факт 2015'!V55</f>
        <v>4.5000000000000009</v>
      </c>
      <c r="D42" s="166">
        <f>'[37]1.Фінансовий результат'!D48</f>
        <v>3.4999999999999996</v>
      </c>
      <c r="E42" s="166">
        <f>'[38]1.Фінансовий результат'!D48</f>
        <v>3.6</v>
      </c>
      <c r="F42" s="166">
        <f>'[39]1.Фінансовий результат'!D42</f>
        <v>2.4000000000000004</v>
      </c>
      <c r="G42" s="166">
        <f>'[40]1.Фінансовий результат'!H42</f>
        <v>4.4000000000000004</v>
      </c>
      <c r="H42" s="166">
        <f>'[41]1.Фінансовий результат'!D42</f>
        <v>4.4000000000000004</v>
      </c>
      <c r="I42" s="166">
        <v>4.8</v>
      </c>
      <c r="J42" s="166">
        <f t="shared" si="5"/>
        <v>4.8</v>
      </c>
      <c r="K42" s="166">
        <v>1.2</v>
      </c>
      <c r="L42" s="166">
        <f>$K$42</f>
        <v>1.2</v>
      </c>
      <c r="M42" s="166">
        <f t="shared" ref="M42:N42" si="11">$K$42</f>
        <v>1.2</v>
      </c>
      <c r="N42" s="166">
        <f t="shared" si="11"/>
        <v>1.2</v>
      </c>
      <c r="O42" s="25"/>
      <c r="P42" s="208"/>
      <c r="R42" s="250"/>
    </row>
    <row r="43" spans="1:18" s="177" customFormat="1" ht="20.100000000000001" customHeight="1">
      <c r="A43" s="180" t="s">
        <v>26</v>
      </c>
      <c r="B43" s="215">
        <v>1088</v>
      </c>
      <c r="C43" s="154">
        <f>'[36]Факт 2015'!V56</f>
        <v>575</v>
      </c>
      <c r="D43" s="166">
        <f>'[37]1.Фінансовий результат'!D49+228.5</f>
        <v>958.9</v>
      </c>
      <c r="E43" s="166">
        <f>'[38]1.Фінансовий результат'!$D$49+321.5</f>
        <v>1253.5</v>
      </c>
      <c r="F43" s="166">
        <f>'[39]1.Фінансовий результат'!D43</f>
        <v>1595</v>
      </c>
      <c r="G43" s="166">
        <f>'[40]1.Фінансовий результат'!H43</f>
        <v>1891.1000000000001</v>
      </c>
      <c r="H43" s="166">
        <f>'[41]1.Фінансовий результат'!D43</f>
        <v>1814</v>
      </c>
      <c r="I43" s="166">
        <v>2277.8000000000002</v>
      </c>
      <c r="J43" s="166">
        <f t="shared" si="5"/>
        <v>4015.6000000000004</v>
      </c>
      <c r="K43" s="166">
        <f>'[42]ФП форма 3'!Z62-47.5+140+21.5</f>
        <v>716.8</v>
      </c>
      <c r="L43" s="166">
        <f>'[42]ФП форма 3'!AD62-47.5+426+58.4+25.2</f>
        <v>1064.9000000000001</v>
      </c>
      <c r="M43" s="166">
        <f>'[42]ФП форма 3'!AH62-47.5+426.2+72.8+31.7</f>
        <v>1111.0999999999999</v>
      </c>
      <c r="N43" s="166">
        <f>'[42]ФП форма 3'!AL62-47.4+427.1+77+31.9</f>
        <v>1122.8000000000002</v>
      </c>
      <c r="O43" s="25"/>
      <c r="P43" s="208"/>
      <c r="R43" s="250"/>
    </row>
    <row r="44" spans="1:18" s="177" customFormat="1" ht="20.100000000000001" customHeight="1">
      <c r="A44" s="180" t="s">
        <v>27</v>
      </c>
      <c r="B44" s="215">
        <v>1089</v>
      </c>
      <c r="C44" s="154">
        <f>'[36]Факт 2015'!V57</f>
        <v>160.9</v>
      </c>
      <c r="D44" s="166">
        <f>'[37]1.Фінансовий результат'!D50+50.7</f>
        <v>180</v>
      </c>
      <c r="E44" s="166">
        <f>'[38]1.Фінансовий результат'!$D$50+71.9</f>
        <v>240.8</v>
      </c>
      <c r="F44" s="166">
        <f>'[39]1.Фінансовий результат'!D44</f>
        <v>286.39999999999998</v>
      </c>
      <c r="G44" s="166">
        <f>'[40]1.Фінансовий результат'!H44</f>
        <v>416</v>
      </c>
      <c r="H44" s="166">
        <f>'[41]1.Фінансовий результат'!D44</f>
        <v>324.10000000000002</v>
      </c>
      <c r="I44" s="166">
        <v>501.2</v>
      </c>
      <c r="J44" s="166">
        <f t="shared" si="5"/>
        <v>828.1</v>
      </c>
      <c r="K44" s="166">
        <f>'[42]ФП форма 3'!Z63+1.3+30.8</f>
        <v>153.30000000000001</v>
      </c>
      <c r="L44" s="166">
        <f>'[42]ФП форма 3'!AD63+1.1+93.8+4.1</f>
        <v>220.29999999999998</v>
      </c>
      <c r="M44" s="166">
        <f>'[42]ФП форма 3'!AH63+1.4+93.8+5.2</f>
        <v>226.5</v>
      </c>
      <c r="N44" s="166">
        <f>'[42]ФП форма 3'!AL63+1.4+94+5.2</f>
        <v>228</v>
      </c>
      <c r="O44" s="25"/>
      <c r="P44" s="208"/>
      <c r="R44" s="250"/>
    </row>
    <row r="45" spans="1:18" s="177" customFormat="1" ht="56.25">
      <c r="A45" s="180" t="s">
        <v>28</v>
      </c>
      <c r="B45" s="215">
        <v>1090</v>
      </c>
      <c r="C45" s="154">
        <f>'[36]Факт 2015'!V58</f>
        <v>8.9000000000000021</v>
      </c>
      <c r="D45" s="166">
        <f>'[37]1.Фінансовий результат'!D51</f>
        <v>10.900000000000002</v>
      </c>
      <c r="E45" s="166">
        <f>'[38]1.Фінансовий результат'!D51</f>
        <v>4.5999999999999996</v>
      </c>
      <c r="F45" s="166">
        <f>'[39]1.Фінансовий результат'!D45</f>
        <v>8.4</v>
      </c>
      <c r="G45" s="166">
        <f>'[40]1.Фінансовий результат'!H45</f>
        <v>7.2</v>
      </c>
      <c r="H45" s="166">
        <f>'[41]1.Фінансовий результат'!D45</f>
        <v>12</v>
      </c>
      <c r="I45" s="166">
        <v>9.1999999999999993</v>
      </c>
      <c r="J45" s="166">
        <f>SUM(K45:N45)</f>
        <v>9.1999999999999993</v>
      </c>
      <c r="K45" s="166">
        <f>ROUND(1.8*1.3,1)</f>
        <v>2.2999999999999998</v>
      </c>
      <c r="L45" s="166">
        <f>K45</f>
        <v>2.2999999999999998</v>
      </c>
      <c r="M45" s="166">
        <f>L45</f>
        <v>2.2999999999999998</v>
      </c>
      <c r="N45" s="166">
        <f>M45</f>
        <v>2.2999999999999998</v>
      </c>
      <c r="O45" s="25"/>
      <c r="P45" s="208"/>
      <c r="R45" s="250"/>
    </row>
    <row r="46" spans="1:18" s="177" customFormat="1" ht="56.25">
      <c r="A46" s="180" t="s">
        <v>29</v>
      </c>
      <c r="B46" s="215">
        <v>1091</v>
      </c>
      <c r="C46" s="154">
        <f>'[36]Факт 2015'!V59</f>
        <v>0</v>
      </c>
      <c r="D46" s="166">
        <f>'[37]1.Фінансовий результат'!D52</f>
        <v>0</v>
      </c>
      <c r="E46" s="166">
        <f>'[38]1.Фінансовий результат'!D52</f>
        <v>0</v>
      </c>
      <c r="F46" s="166">
        <f>'[39]1.Фінансовий результат'!D46</f>
        <v>0</v>
      </c>
      <c r="G46" s="166">
        <f>'[40]1.Фінансовий результат'!H46</f>
        <v>0</v>
      </c>
      <c r="H46" s="166">
        <f>'[41]1.Фінансовий результат'!D46</f>
        <v>0</v>
      </c>
      <c r="I46" s="166">
        <v>0</v>
      </c>
      <c r="J46" s="166">
        <f t="shared" si="5"/>
        <v>0</v>
      </c>
      <c r="K46" s="166"/>
      <c r="L46" s="166"/>
      <c r="M46" s="166"/>
      <c r="N46" s="166"/>
      <c r="O46" s="25"/>
      <c r="P46" s="208"/>
      <c r="R46" s="250"/>
    </row>
    <row r="47" spans="1:18" s="177" customFormat="1" ht="37.5">
      <c r="A47" s="180" t="s">
        <v>30</v>
      </c>
      <c r="B47" s="215">
        <v>1092</v>
      </c>
      <c r="C47" s="154">
        <f>'[36]Факт 2015'!V60</f>
        <v>0.4</v>
      </c>
      <c r="D47" s="166">
        <f>'[37]1.Фінансовий результат'!D53</f>
        <v>4.2</v>
      </c>
      <c r="E47" s="166">
        <f>'[38]1.Фінансовий результат'!D53</f>
        <v>5.4</v>
      </c>
      <c r="F47" s="166">
        <f>'[39]1.Фінансовий результат'!D47</f>
        <v>6.4</v>
      </c>
      <c r="G47" s="166">
        <f>'[40]1.Фінансовий результат'!H47</f>
        <v>6</v>
      </c>
      <c r="H47" s="166">
        <f>'[41]1.Фінансовий результат'!D47</f>
        <v>7.8</v>
      </c>
      <c r="I47" s="166">
        <v>6.6000000000000005</v>
      </c>
      <c r="J47" s="166">
        <f t="shared" si="5"/>
        <v>6.6000000000000005</v>
      </c>
      <c r="K47" s="166">
        <f>'[49]Фінплан 2017'!Z59</f>
        <v>0</v>
      </c>
      <c r="L47" s="166">
        <f>'[49]Фінплан 2017'!AD59</f>
        <v>0</v>
      </c>
      <c r="M47" s="166">
        <f>'[49]Фінплан 2017'!AH59</f>
        <v>0</v>
      </c>
      <c r="N47" s="166">
        <f>'[42]бюджет інши витрати'!$R$15/1000</f>
        <v>6.6000000000000005</v>
      </c>
      <c r="O47" s="25"/>
      <c r="P47" s="208"/>
      <c r="R47" s="250"/>
    </row>
    <row r="48" spans="1:18" s="177" customFormat="1" ht="37.5">
      <c r="A48" s="180" t="s">
        <v>31</v>
      </c>
      <c r="B48" s="215">
        <v>1093</v>
      </c>
      <c r="C48" s="154">
        <f>'[36]Факт 2015'!V61</f>
        <v>0</v>
      </c>
      <c r="D48" s="166">
        <f>'[37]1.Фінансовий результат'!D54</f>
        <v>0</v>
      </c>
      <c r="E48" s="166">
        <f>'[38]1.Фінансовий результат'!D54</f>
        <v>0</v>
      </c>
      <c r="F48" s="166">
        <f>'[39]1.Фінансовий результат'!D48</f>
        <v>0</v>
      </c>
      <c r="G48" s="166">
        <f>'[40]1.Фінансовий результат'!H48</f>
        <v>0</v>
      </c>
      <c r="H48" s="166">
        <f>'[41]1.Фінансовий результат'!D48</f>
        <v>0</v>
      </c>
      <c r="I48" s="166">
        <v>0</v>
      </c>
      <c r="J48" s="166">
        <f t="shared" si="5"/>
        <v>0</v>
      </c>
      <c r="K48" s="166"/>
      <c r="L48" s="166"/>
      <c r="M48" s="166"/>
      <c r="N48" s="166"/>
      <c r="O48" s="25"/>
      <c r="P48" s="208"/>
      <c r="R48" s="250"/>
    </row>
    <row r="49" spans="1:18" s="177" customFormat="1" ht="37.5">
      <c r="A49" s="180" t="s">
        <v>313</v>
      </c>
      <c r="B49" s="215">
        <v>1094</v>
      </c>
      <c r="C49" s="154">
        <f>'[36]Факт 2015'!V62</f>
        <v>5.0000000000000009</v>
      </c>
      <c r="D49" s="166">
        <f>'[37]1.Фінансовий результат'!D55</f>
        <v>8.6</v>
      </c>
      <c r="E49" s="166">
        <f>'[38]1.Фінансовий результат'!D55</f>
        <v>6.1000000000000005</v>
      </c>
      <c r="F49" s="166">
        <f>'[39]1.Фінансовий результат'!D49</f>
        <v>12.1</v>
      </c>
      <c r="G49" s="166">
        <f>'[40]1.Фінансовий результат'!H49</f>
        <v>8</v>
      </c>
      <c r="H49" s="166">
        <f>'[41]1.Фінансовий результат'!D49</f>
        <v>9.6000000000000014</v>
      </c>
      <c r="I49" s="166">
        <v>8.8000000000000007</v>
      </c>
      <c r="J49" s="166">
        <f t="shared" si="5"/>
        <v>8.8000000000000007</v>
      </c>
      <c r="K49" s="166">
        <f>2.2</f>
        <v>2.2000000000000002</v>
      </c>
      <c r="L49" s="166">
        <f>K49</f>
        <v>2.2000000000000002</v>
      </c>
      <c r="M49" s="166">
        <f>L49</f>
        <v>2.2000000000000002</v>
      </c>
      <c r="N49" s="166">
        <f>M49</f>
        <v>2.2000000000000002</v>
      </c>
      <c r="O49" s="25"/>
      <c r="P49" s="208"/>
      <c r="R49" s="250"/>
    </row>
    <row r="50" spans="1:18" s="177" customFormat="1" ht="20.100000000000001" customHeight="1">
      <c r="A50" s="299" t="s">
        <v>52</v>
      </c>
      <c r="B50" s="300">
        <v>1095</v>
      </c>
      <c r="C50" s="301">
        <v>35.9</v>
      </c>
      <c r="D50" s="302">
        <f>'[37]1.Фінансовий результат'!D56</f>
        <v>14.5</v>
      </c>
      <c r="E50" s="302">
        <f>'[38]1.Фінансовий результат'!D56</f>
        <v>4.4000000000000004</v>
      </c>
      <c r="F50" s="166">
        <f>'[39]1.Фінансовий результат'!D50</f>
        <v>10.1</v>
      </c>
      <c r="G50" s="166">
        <f>'[40]1.Фінансовий результат'!H50</f>
        <v>9.6</v>
      </c>
      <c r="H50" s="166">
        <f>'[41]1.Фінансовий результат'!D50</f>
        <v>11.7</v>
      </c>
      <c r="I50" s="302">
        <v>10.4</v>
      </c>
      <c r="J50" s="302">
        <f t="shared" si="5"/>
        <v>32.799999999999997</v>
      </c>
      <c r="K50" s="302">
        <f>ROUND(2.4*1.1,1)+7.5-1.9</f>
        <v>8.1999999999999993</v>
      </c>
      <c r="L50" s="302">
        <f>$K$50</f>
        <v>8.1999999999999993</v>
      </c>
      <c r="M50" s="302">
        <f t="shared" ref="M50:N50" si="12">$K$50</f>
        <v>8.1999999999999993</v>
      </c>
      <c r="N50" s="302">
        <f t="shared" si="12"/>
        <v>8.1999999999999993</v>
      </c>
      <c r="O50" s="25"/>
      <c r="P50" s="208"/>
      <c r="R50" s="250"/>
    </row>
    <row r="51" spans="1:18" s="177" customFormat="1" ht="20.100000000000001" customHeight="1">
      <c r="A51" s="289"/>
      <c r="B51" s="304"/>
      <c r="C51" s="305"/>
      <c r="D51" s="306"/>
      <c r="E51" s="306"/>
      <c r="F51" s="306"/>
      <c r="G51" s="306"/>
      <c r="H51" s="307"/>
      <c r="I51" s="307"/>
      <c r="J51" s="306"/>
      <c r="K51" s="306"/>
      <c r="L51" s="306"/>
      <c r="M51" s="306"/>
      <c r="N51" s="323" t="s">
        <v>360</v>
      </c>
      <c r="O51" s="25"/>
      <c r="P51" s="208"/>
      <c r="R51" s="250"/>
    </row>
    <row r="52" spans="1:18" s="177" customFormat="1" ht="20.100000000000001" customHeight="1">
      <c r="A52" s="224" t="s">
        <v>32</v>
      </c>
      <c r="B52" s="225">
        <v>1096</v>
      </c>
      <c r="C52" s="196">
        <f>'[36]Факт 2015'!$V$46</f>
        <v>0.5</v>
      </c>
      <c r="D52" s="226">
        <f>'[37]1.Фінансовий результат'!D57</f>
        <v>0</v>
      </c>
      <c r="E52" s="226">
        <f>'[38]1.Фінансовий результат'!D57</f>
        <v>1.2</v>
      </c>
      <c r="F52" s="226">
        <f>'[39]1.Фінансовий результат'!D51</f>
        <v>0</v>
      </c>
      <c r="G52" s="166">
        <f>'[40]1.Фінансовий результат'!H52</f>
        <v>0</v>
      </c>
      <c r="H52" s="166">
        <f>'[41]1.Фінансовий результат'!D52</f>
        <v>0</v>
      </c>
      <c r="I52" s="226">
        <v>0</v>
      </c>
      <c r="J52" s="226">
        <f t="shared" si="5"/>
        <v>0</v>
      </c>
      <c r="K52" s="226"/>
      <c r="L52" s="226"/>
      <c r="M52" s="226"/>
      <c r="N52" s="226"/>
      <c r="O52" s="25"/>
      <c r="P52" s="208"/>
      <c r="R52" s="250"/>
    </row>
    <row r="53" spans="1:18" s="177" customFormat="1" ht="20.100000000000001" customHeight="1">
      <c r="A53" s="180" t="s">
        <v>33</v>
      </c>
      <c r="B53" s="215">
        <v>1097</v>
      </c>
      <c r="C53" s="154">
        <f>'[36]Факт 2015'!V65</f>
        <v>1.6</v>
      </c>
      <c r="D53" s="166">
        <f>'[37]1.Фінансовий результат'!D58</f>
        <v>0</v>
      </c>
      <c r="E53" s="166">
        <f>'[38]1.Фінансовий результат'!D58</f>
        <v>0</v>
      </c>
      <c r="F53" s="226">
        <f>'[39]1.Фінансовий результат'!D52</f>
        <v>0</v>
      </c>
      <c r="G53" s="166">
        <f>'[40]1.Фінансовий результат'!H53</f>
        <v>0</v>
      </c>
      <c r="H53" s="166">
        <f>'[41]1.Фінансовий результат'!D53</f>
        <v>0</v>
      </c>
      <c r="I53" s="166">
        <v>0</v>
      </c>
      <c r="J53" s="166">
        <f t="shared" si="5"/>
        <v>0</v>
      </c>
      <c r="K53" s="166">
        <f>'[49]Фінплан 2017'!Z72</f>
        <v>0</v>
      </c>
      <c r="L53" s="166"/>
      <c r="M53" s="166"/>
      <c r="N53" s="166">
        <f>'[49]Фінплан 2017'!AL72</f>
        <v>0</v>
      </c>
      <c r="O53" s="25"/>
      <c r="P53" s="208"/>
      <c r="R53" s="250"/>
    </row>
    <row r="54" spans="1:18" s="177" customFormat="1" ht="37.5">
      <c r="A54" s="180" t="s">
        <v>34</v>
      </c>
      <c r="B54" s="215">
        <v>1098</v>
      </c>
      <c r="C54" s="154">
        <f>'[36]Факт 2015'!V66</f>
        <v>0</v>
      </c>
      <c r="D54" s="166">
        <f>'[37]1.Фінансовий результат'!D59</f>
        <v>0</v>
      </c>
      <c r="E54" s="166">
        <f>'[38]1.Фінансовий результат'!D59</f>
        <v>3.2</v>
      </c>
      <c r="F54" s="226">
        <f>'[39]1.Фінансовий результат'!D53</f>
        <v>0</v>
      </c>
      <c r="G54" s="166">
        <f>'[40]1.Фінансовий результат'!H54</f>
        <v>12</v>
      </c>
      <c r="H54" s="166">
        <f>'[41]1.Фінансовий результат'!D54</f>
        <v>55.9</v>
      </c>
      <c r="I54" s="166">
        <v>13.2</v>
      </c>
      <c r="J54" s="166">
        <f t="shared" si="5"/>
        <v>13.2</v>
      </c>
      <c r="K54" s="166">
        <f>3.3</f>
        <v>3.3</v>
      </c>
      <c r="L54" s="166">
        <f>$K$54</f>
        <v>3.3</v>
      </c>
      <c r="M54" s="166">
        <f t="shared" ref="M54:N54" si="13">$K$54</f>
        <v>3.3</v>
      </c>
      <c r="N54" s="166">
        <f t="shared" si="13"/>
        <v>3.3</v>
      </c>
      <c r="O54" s="25"/>
      <c r="P54" s="208"/>
      <c r="R54" s="250"/>
    </row>
    <row r="55" spans="1:18" s="177" customFormat="1" ht="37.5">
      <c r="A55" s="224" t="s">
        <v>35</v>
      </c>
      <c r="B55" s="225">
        <v>1099</v>
      </c>
      <c r="C55" s="196">
        <f>'[36]Факт 2015'!V67</f>
        <v>0</v>
      </c>
      <c r="D55" s="166">
        <f>'[37]1.Фінансовий результат'!D60</f>
        <v>0</v>
      </c>
      <c r="E55" s="166">
        <f>'[38]1.Фінансовий результат'!D60</f>
        <v>0</v>
      </c>
      <c r="F55" s="226">
        <f>'[39]1.Фінансовий результат'!D54</f>
        <v>0</v>
      </c>
      <c r="G55" s="166">
        <f>'[40]1.Фінансовий результат'!H55</f>
        <v>0</v>
      </c>
      <c r="H55" s="166">
        <f>'[41]1.Фінансовий результат'!D55</f>
        <v>3.8</v>
      </c>
      <c r="I55" s="226">
        <v>0</v>
      </c>
      <c r="J55" s="226">
        <f t="shared" si="5"/>
        <v>0</v>
      </c>
      <c r="K55" s="226">
        <v>0</v>
      </c>
      <c r="L55" s="226">
        <v>0</v>
      </c>
      <c r="M55" s="226">
        <v>0</v>
      </c>
      <c r="N55" s="226">
        <v>0</v>
      </c>
      <c r="O55" s="25"/>
      <c r="P55" s="208"/>
      <c r="R55" s="250"/>
    </row>
    <row r="56" spans="1:18" s="177" customFormat="1" ht="75">
      <c r="A56" s="180" t="s">
        <v>62</v>
      </c>
      <c r="B56" s="215">
        <v>1100</v>
      </c>
      <c r="C56" s="154">
        <f>'[36]Факт 2015'!V68</f>
        <v>0</v>
      </c>
      <c r="D56" s="166">
        <f>'[37]1.Фінансовий результат'!D61</f>
        <v>0</v>
      </c>
      <c r="E56" s="166">
        <f>'[38]1.Фінансовий результат'!D61</f>
        <v>0</v>
      </c>
      <c r="F56" s="226">
        <f>'[39]1.Фінансовий результат'!D55</f>
        <v>0</v>
      </c>
      <c r="G56" s="166">
        <f>'[40]1.Фінансовий результат'!H56</f>
        <v>0</v>
      </c>
      <c r="H56" s="166">
        <f>'[41]1.Фінансовий результат'!D56</f>
        <v>0</v>
      </c>
      <c r="I56" s="166">
        <v>0</v>
      </c>
      <c r="J56" s="166">
        <f t="shared" si="5"/>
        <v>0</v>
      </c>
      <c r="K56" s="166">
        <v>0</v>
      </c>
      <c r="L56" s="166">
        <v>0</v>
      </c>
      <c r="M56" s="166">
        <v>0</v>
      </c>
      <c r="N56" s="166">
        <v>0</v>
      </c>
      <c r="O56" s="25"/>
      <c r="P56" s="208"/>
      <c r="R56" s="250"/>
    </row>
    <row r="57" spans="1:18" s="177" customFormat="1" ht="20.100000000000001" customHeight="1">
      <c r="A57" s="180" t="s">
        <v>36</v>
      </c>
      <c r="B57" s="215">
        <v>1101</v>
      </c>
      <c r="C57" s="154">
        <f>'[36]Факт 2015'!V69</f>
        <v>0</v>
      </c>
      <c r="D57" s="166">
        <f>'[37]1.Фінансовий результат'!D62</f>
        <v>0</v>
      </c>
      <c r="E57" s="166">
        <f>'[38]1.Фінансовий результат'!D62</f>
        <v>0</v>
      </c>
      <c r="F57" s="226">
        <f>'[39]1.Фінансовий результат'!D56</f>
        <v>0</v>
      </c>
      <c r="G57" s="166">
        <f>'[40]1.Фінансовий результат'!H57</f>
        <v>0</v>
      </c>
      <c r="H57" s="166">
        <f>'[41]1.Фінансовий результат'!D57</f>
        <v>0</v>
      </c>
      <c r="I57" s="166">
        <v>0</v>
      </c>
      <c r="J57" s="166">
        <f t="shared" si="5"/>
        <v>0</v>
      </c>
      <c r="K57" s="166">
        <v>0</v>
      </c>
      <c r="L57" s="166">
        <v>0</v>
      </c>
      <c r="M57" s="166">
        <v>0</v>
      </c>
      <c r="N57" s="166">
        <v>0</v>
      </c>
      <c r="O57" s="25"/>
      <c r="P57" s="208"/>
      <c r="R57" s="250"/>
    </row>
    <row r="58" spans="1:18" s="177" customFormat="1" ht="37.5">
      <c r="A58" s="180" t="s">
        <v>92</v>
      </c>
      <c r="B58" s="215">
        <v>1102</v>
      </c>
      <c r="C58" s="216">
        <f t="shared" ref="C58:H58" si="14">SUM(C59:C73)</f>
        <v>73</v>
      </c>
      <c r="D58" s="227">
        <f t="shared" si="14"/>
        <v>87.299999999999983</v>
      </c>
      <c r="E58" s="227">
        <f t="shared" si="14"/>
        <v>78</v>
      </c>
      <c r="F58" s="227">
        <f t="shared" si="14"/>
        <v>93.4</v>
      </c>
      <c r="G58" s="227">
        <f t="shared" si="14"/>
        <v>134.10000000000002</v>
      </c>
      <c r="H58" s="227">
        <f t="shared" si="14"/>
        <v>105.00000000000001</v>
      </c>
      <c r="I58" s="227">
        <v>163.39999999999998</v>
      </c>
      <c r="J58" s="166">
        <f>SUM(K58:N58)</f>
        <v>210.6</v>
      </c>
      <c r="K58" s="227">
        <f>SUM(K59:K73)</f>
        <v>55.3</v>
      </c>
      <c r="L58" s="227">
        <f>SUM(L59:L73)</f>
        <v>54.7</v>
      </c>
      <c r="M58" s="227">
        <f>SUM(M59:M73)</f>
        <v>54.000000000000007</v>
      </c>
      <c r="N58" s="227">
        <f>SUM(N59:N73)</f>
        <v>46.6</v>
      </c>
      <c r="O58" s="25"/>
      <c r="P58" s="208"/>
      <c r="Q58" s="250"/>
      <c r="R58" s="250"/>
    </row>
    <row r="59" spans="1:18" s="222" customFormat="1" ht="20.100000000000001" customHeight="1">
      <c r="A59" s="217" t="s">
        <v>291</v>
      </c>
      <c r="B59" s="218">
        <v>1</v>
      </c>
      <c r="C59" s="162">
        <f>'[36]Факт 2015'!V71</f>
        <v>0</v>
      </c>
      <c r="D59" s="223">
        <f>'[37]1.Фінансовий результат'!D64</f>
        <v>0.1</v>
      </c>
      <c r="E59" s="223">
        <f>'[38]1.Фінансовий результат'!$D$640</f>
        <v>0</v>
      </c>
      <c r="F59" s="303">
        <f>'[39]1.Фінансовий результат'!D58</f>
        <v>0.1</v>
      </c>
      <c r="G59" s="223">
        <f>'[40]1.Фінансовий результат'!H59</f>
        <v>0</v>
      </c>
      <c r="H59" s="223">
        <f>'[41]1.Фінансовий результат'!D59</f>
        <v>0</v>
      </c>
      <c r="I59" s="223">
        <v>0</v>
      </c>
      <c r="J59" s="219">
        <f t="shared" si="5"/>
        <v>0</v>
      </c>
      <c r="K59" s="219">
        <v>0</v>
      </c>
      <c r="L59" s="219">
        <v>0</v>
      </c>
      <c r="M59" s="219">
        <v>0</v>
      </c>
      <c r="N59" s="219">
        <v>0</v>
      </c>
      <c r="O59" s="239"/>
      <c r="P59" s="15"/>
      <c r="R59" s="240"/>
    </row>
    <row r="60" spans="1:18" s="222" customFormat="1" ht="20.100000000000001" customHeight="1">
      <c r="A60" s="217" t="s">
        <v>292</v>
      </c>
      <c r="B60" s="218">
        <v>2</v>
      </c>
      <c r="C60" s="162">
        <f>'[36]Факт 2015'!V72</f>
        <v>9.6999999999999993</v>
      </c>
      <c r="D60" s="223">
        <f>'[37]1.Фінансовий результат'!D65</f>
        <v>14.299999999999999</v>
      </c>
      <c r="E60" s="223">
        <f>'[38]1.Фінансовий результат'!D65</f>
        <v>15.499999999999998</v>
      </c>
      <c r="F60" s="303">
        <f>'[39]1.Фінансовий результат'!D59</f>
        <v>15.2</v>
      </c>
      <c r="G60" s="223">
        <f>'[40]1.Фінансовий результат'!H60</f>
        <v>15.2</v>
      </c>
      <c r="H60" s="223">
        <f>'[41]1.Фінансовий результат'!D60</f>
        <v>15.2</v>
      </c>
      <c r="I60" s="223">
        <v>15.2</v>
      </c>
      <c r="J60" s="219">
        <f t="shared" si="5"/>
        <v>15.2</v>
      </c>
      <c r="K60" s="219">
        <v>3.8</v>
      </c>
      <c r="L60" s="219">
        <f>K60</f>
        <v>3.8</v>
      </c>
      <c r="M60" s="219">
        <f>K60</f>
        <v>3.8</v>
      </c>
      <c r="N60" s="219">
        <f>K60</f>
        <v>3.8</v>
      </c>
      <c r="O60" s="239"/>
      <c r="P60" s="15"/>
      <c r="R60" s="240"/>
    </row>
    <row r="61" spans="1:18" s="222" customFormat="1" ht="20.100000000000001" customHeight="1">
      <c r="A61" s="217" t="s">
        <v>294</v>
      </c>
      <c r="B61" s="218">
        <v>3</v>
      </c>
      <c r="C61" s="162">
        <f>'[36]Факт 2015'!V73</f>
        <v>8.3000000000000007</v>
      </c>
      <c r="D61" s="223">
        <f>'[37]1.Фінансовий результат'!D66</f>
        <v>9.4</v>
      </c>
      <c r="E61" s="223">
        <f>'[38]1.Фінансовий результат'!D66</f>
        <v>10.9</v>
      </c>
      <c r="F61" s="303">
        <f>'[39]1.Фінансовий результат'!D60</f>
        <v>12.7</v>
      </c>
      <c r="G61" s="223">
        <f>'[40]1.Фінансовий результат'!H61</f>
        <v>10.9</v>
      </c>
      <c r="H61" s="223">
        <f>'[41]1.Фінансовий результат'!D61</f>
        <v>14.2</v>
      </c>
      <c r="I61" s="223">
        <v>14</v>
      </c>
      <c r="J61" s="219">
        <f t="shared" si="5"/>
        <v>28</v>
      </c>
      <c r="K61" s="219">
        <f>3.5*2</f>
        <v>7</v>
      </c>
      <c r="L61" s="219">
        <f>$K$61</f>
        <v>7</v>
      </c>
      <c r="M61" s="219">
        <f t="shared" ref="M61:N61" si="15">$K$61</f>
        <v>7</v>
      </c>
      <c r="N61" s="219">
        <f t="shared" si="15"/>
        <v>7</v>
      </c>
      <c r="O61" s="239"/>
      <c r="P61" s="15"/>
      <c r="R61" s="240"/>
    </row>
    <row r="62" spans="1:18" s="222" customFormat="1" ht="20.100000000000001" customHeight="1">
      <c r="A62" s="217" t="s">
        <v>311</v>
      </c>
      <c r="B62" s="218">
        <v>4</v>
      </c>
      <c r="C62" s="162"/>
      <c r="D62" s="223">
        <f>'[37]1.Фінансовий результат'!D67</f>
        <v>0.1</v>
      </c>
      <c r="E62" s="223">
        <f>'[38]1.Фінансовий результат'!D67</f>
        <v>0.1</v>
      </c>
      <c r="F62" s="303">
        <f>'[39]1.Фінансовий результат'!D61</f>
        <v>0</v>
      </c>
      <c r="G62" s="223">
        <f>'[40]1.Фінансовий результат'!H62</f>
        <v>0.1</v>
      </c>
      <c r="H62" s="223">
        <f>'[41]1.Фінансовий результат'!D62</f>
        <v>0</v>
      </c>
      <c r="I62" s="223">
        <v>0</v>
      </c>
      <c r="J62" s="219">
        <f>SUM(K62:N62)</f>
        <v>0</v>
      </c>
      <c r="K62" s="219"/>
      <c r="L62" s="219"/>
      <c r="M62" s="219"/>
      <c r="N62" s="219"/>
      <c r="O62" s="239"/>
      <c r="P62" s="15"/>
      <c r="R62" s="240"/>
    </row>
    <row r="63" spans="1:18" s="222" customFormat="1" ht="20.100000000000001" customHeight="1">
      <c r="A63" s="217" t="s">
        <v>312</v>
      </c>
      <c r="B63" s="218">
        <v>5</v>
      </c>
      <c r="C63" s="162">
        <v>19.5</v>
      </c>
      <c r="D63" s="223">
        <f>'[37]1.Фінансовий результат'!D68</f>
        <v>40.799999999999997</v>
      </c>
      <c r="E63" s="223">
        <f>'[38]1.Фінансовий результат'!D68</f>
        <v>27.5</v>
      </c>
      <c r="F63" s="303">
        <f>'[39]1.Фінансовий результат'!D62</f>
        <v>17.8</v>
      </c>
      <c r="G63" s="223">
        <f>'[40]1.Фінансовий результат'!H63</f>
        <v>42.400000000000006</v>
      </c>
      <c r="H63" s="223">
        <f>'[41]1.Фінансовий результат'!D63</f>
        <v>27.8</v>
      </c>
      <c r="I63" s="223">
        <v>66</v>
      </c>
      <c r="J63" s="219">
        <f>SUM(K63:N63)</f>
        <v>66</v>
      </c>
      <c r="K63" s="219">
        <f>16.5</f>
        <v>16.5</v>
      </c>
      <c r="L63" s="219">
        <f>$K$63</f>
        <v>16.5</v>
      </c>
      <c r="M63" s="219">
        <f t="shared" ref="M63:N63" si="16">$K$63</f>
        <v>16.5</v>
      </c>
      <c r="N63" s="219">
        <f t="shared" si="16"/>
        <v>16.5</v>
      </c>
      <c r="O63" s="239"/>
      <c r="P63" s="15"/>
      <c r="R63" s="240"/>
    </row>
    <row r="64" spans="1:18" s="222" customFormat="1" ht="20.100000000000001" customHeight="1">
      <c r="A64" s="217" t="s">
        <v>295</v>
      </c>
      <c r="B64" s="218">
        <v>6</v>
      </c>
      <c r="C64" s="162">
        <f>'[36]Факт 2015'!$V$74</f>
        <v>1</v>
      </c>
      <c r="D64" s="223">
        <f>'[37]1.Фінансовий результат'!D69</f>
        <v>0</v>
      </c>
      <c r="E64" s="223">
        <f>'[38]1.Фінансовий результат'!D69</f>
        <v>0</v>
      </c>
      <c r="F64" s="303">
        <f>'[39]1.Фінансовий результат'!D63</f>
        <v>0</v>
      </c>
      <c r="G64" s="223">
        <f>'[40]1.Фінансовий результат'!H64</f>
        <v>0</v>
      </c>
      <c r="H64" s="223">
        <f>'[41]1.Фінансовий результат'!D64</f>
        <v>0</v>
      </c>
      <c r="I64" s="223">
        <v>3</v>
      </c>
      <c r="J64" s="219">
        <f>SUM(K64:N64)</f>
        <v>3</v>
      </c>
      <c r="K64" s="219">
        <v>3</v>
      </c>
      <c r="L64" s="219"/>
      <c r="M64" s="219"/>
      <c r="N64" s="219"/>
      <c r="O64" s="239"/>
      <c r="P64" s="15"/>
      <c r="R64" s="240"/>
    </row>
    <row r="65" spans="1:18" s="222" customFormat="1" ht="20.100000000000001" customHeight="1">
      <c r="A65" s="221" t="s">
        <v>289</v>
      </c>
      <c r="B65" s="218">
        <v>7</v>
      </c>
      <c r="C65" s="162">
        <f>'[36]Факт 2015'!$V$42</f>
        <v>4.3000000000000007</v>
      </c>
      <c r="D65" s="223">
        <f>'[37]1.Фінансовий результат'!D70</f>
        <v>6.5000000000000009</v>
      </c>
      <c r="E65" s="223">
        <f>'[38]1.Фінансовий результат'!D70</f>
        <v>6.6</v>
      </c>
      <c r="F65" s="303">
        <f>'[39]1.Фінансовий результат'!D64</f>
        <v>2.7</v>
      </c>
      <c r="G65" s="223">
        <f>'[40]1.Фінансовий результат'!H65</f>
        <v>8.4</v>
      </c>
      <c r="H65" s="223">
        <f>'[41]1.Фінансовий результат'!D65</f>
        <v>8.1999999999999993</v>
      </c>
      <c r="I65" s="223">
        <v>5.6</v>
      </c>
      <c r="J65" s="219">
        <f>SUM(K65:N65)</f>
        <v>5.6</v>
      </c>
      <c r="K65" s="219">
        <v>1.4</v>
      </c>
      <c r="L65" s="219">
        <f>$K$65</f>
        <v>1.4</v>
      </c>
      <c r="M65" s="219">
        <f t="shared" ref="M65:N65" si="17">$K$65</f>
        <v>1.4</v>
      </c>
      <c r="N65" s="219">
        <f t="shared" si="17"/>
        <v>1.4</v>
      </c>
      <c r="O65" s="239"/>
      <c r="P65" s="15"/>
      <c r="R65" s="240"/>
    </row>
    <row r="66" spans="1:18" s="222" customFormat="1" ht="20.100000000000001" customHeight="1">
      <c r="A66" s="221" t="s">
        <v>310</v>
      </c>
      <c r="B66" s="218">
        <v>8</v>
      </c>
      <c r="C66" s="162">
        <f>2.4+0.5</f>
        <v>2.9</v>
      </c>
      <c r="D66" s="223">
        <f>'[37]1.Фінансовий результат'!D71+1.6</f>
        <v>2.7</v>
      </c>
      <c r="E66" s="223">
        <f>'[38]1.Фінансовий результат'!D71+'[38]1.Фінансовий результат'!$D$32</f>
        <v>1.3</v>
      </c>
      <c r="F66" s="303">
        <f>'[39]1.Фінансовий результат'!D65</f>
        <v>2.2000000000000002</v>
      </c>
      <c r="G66" s="223">
        <f>'[40]1.Фінансовий результат'!H66</f>
        <v>4.8</v>
      </c>
      <c r="H66" s="223">
        <f>'[41]1.Фінансовий результат'!D66</f>
        <v>2.9000000000000004</v>
      </c>
      <c r="I66" s="223">
        <v>5.2</v>
      </c>
      <c r="J66" s="219">
        <f>SUM(K66:N66)</f>
        <v>5.2</v>
      </c>
      <c r="K66" s="219">
        <v>1.3</v>
      </c>
      <c r="L66" s="219">
        <f>$K$66</f>
        <v>1.3</v>
      </c>
      <c r="M66" s="219">
        <f t="shared" ref="M66:N66" si="18">$K$66</f>
        <v>1.3</v>
      </c>
      <c r="N66" s="219">
        <f t="shared" si="18"/>
        <v>1.3</v>
      </c>
      <c r="O66" s="239"/>
      <c r="P66" s="15"/>
      <c r="R66" s="240"/>
    </row>
    <row r="67" spans="1:18" s="222" customFormat="1" ht="36.75" customHeight="1">
      <c r="A67" s="217" t="s">
        <v>293</v>
      </c>
      <c r="B67" s="218">
        <v>9</v>
      </c>
      <c r="C67" s="162">
        <f>'[36]Факт 2015'!$V$75</f>
        <v>0.5</v>
      </c>
      <c r="D67" s="223">
        <f>'[37]1.Фінансовий результат'!D72</f>
        <v>1.2000000000000002</v>
      </c>
      <c r="E67" s="223">
        <f>'[38]1.Фінансовий результат'!D72</f>
        <v>0.2</v>
      </c>
      <c r="F67" s="303">
        <f>'[39]1.Фінансовий результат'!D66</f>
        <v>1.3</v>
      </c>
      <c r="G67" s="223">
        <f>'[40]1.Фінансовий результат'!H67</f>
        <v>1.6</v>
      </c>
      <c r="H67" s="223">
        <f>'[41]1.Фінансовий результат'!D67</f>
        <v>0.3</v>
      </c>
      <c r="I67" s="223">
        <v>2</v>
      </c>
      <c r="J67" s="219">
        <f t="shared" si="5"/>
        <v>6</v>
      </c>
      <c r="K67" s="219">
        <f>1+0.5</f>
        <v>1.5</v>
      </c>
      <c r="L67" s="219">
        <f>$K$67</f>
        <v>1.5</v>
      </c>
      <c r="M67" s="219">
        <f t="shared" ref="M67:N67" si="19">$K$67</f>
        <v>1.5</v>
      </c>
      <c r="N67" s="219">
        <f t="shared" si="19"/>
        <v>1.5</v>
      </c>
      <c r="O67" s="239"/>
      <c r="P67" s="15"/>
      <c r="R67" s="240"/>
    </row>
    <row r="68" spans="1:18" s="222" customFormat="1" ht="19.5">
      <c r="A68" s="221" t="s">
        <v>285</v>
      </c>
      <c r="B68" s="218">
        <v>10</v>
      </c>
      <c r="C68" s="162">
        <v>1.0999999999999999</v>
      </c>
      <c r="D68" s="223">
        <v>1.2</v>
      </c>
      <c r="E68" s="223">
        <f>'[38]1.Фінансовий результат'!D28</f>
        <v>1.4</v>
      </c>
      <c r="F68" s="303">
        <f>'[39]1.Фінансовий результат'!D67</f>
        <v>1.1000000000000001</v>
      </c>
      <c r="G68" s="223">
        <f>'[40]1.Фінансовий результат'!H68</f>
        <v>4</v>
      </c>
      <c r="H68" s="223">
        <f>'[41]1.Фінансовий результат'!D68</f>
        <v>1</v>
      </c>
      <c r="I68" s="223">
        <v>4.4000000000000004</v>
      </c>
      <c r="J68" s="219">
        <f t="shared" si="5"/>
        <v>4.4000000000000004</v>
      </c>
      <c r="K68" s="219">
        <v>1.1000000000000001</v>
      </c>
      <c r="L68" s="219">
        <f>K68</f>
        <v>1.1000000000000001</v>
      </c>
      <c r="M68" s="219">
        <f>K68</f>
        <v>1.1000000000000001</v>
      </c>
      <c r="N68" s="219">
        <f>K68</f>
        <v>1.1000000000000001</v>
      </c>
      <c r="O68" s="239"/>
      <c r="P68" s="15"/>
      <c r="R68" s="240"/>
    </row>
    <row r="69" spans="1:18" s="222" customFormat="1" ht="19.5">
      <c r="A69" s="221" t="s">
        <v>286</v>
      </c>
      <c r="B69" s="218">
        <v>11</v>
      </c>
      <c r="C69" s="162">
        <v>1</v>
      </c>
      <c r="D69" s="223">
        <v>1</v>
      </c>
      <c r="E69" s="223">
        <f>'[38]1.Фінансовий результат'!D29</f>
        <v>1.5</v>
      </c>
      <c r="F69" s="303">
        <f>'[39]1.Фінансовий результат'!D68</f>
        <v>1.7</v>
      </c>
      <c r="G69" s="223">
        <f>'[40]1.Фінансовий результат'!H69</f>
        <v>2</v>
      </c>
      <c r="H69" s="223">
        <f>'[41]1.Фінансовий результат'!D69</f>
        <v>2.5</v>
      </c>
      <c r="I69" s="223">
        <v>2.8</v>
      </c>
      <c r="J69" s="219">
        <f t="shared" si="5"/>
        <v>2.8</v>
      </c>
      <c r="K69" s="219">
        <v>0.7</v>
      </c>
      <c r="L69" s="219">
        <f>K69</f>
        <v>0.7</v>
      </c>
      <c r="M69" s="219">
        <f>K69</f>
        <v>0.7</v>
      </c>
      <c r="N69" s="219">
        <f>K69</f>
        <v>0.7</v>
      </c>
      <c r="O69" s="239"/>
      <c r="P69" s="15"/>
      <c r="R69" s="240"/>
    </row>
    <row r="70" spans="1:18" s="222" customFormat="1" ht="19.5">
      <c r="A70" s="221" t="s">
        <v>288</v>
      </c>
      <c r="B70" s="218">
        <v>12</v>
      </c>
      <c r="C70" s="162">
        <v>0</v>
      </c>
      <c r="D70" s="223">
        <v>0</v>
      </c>
      <c r="E70" s="223">
        <f>'[38]1.Фінансовий результат'!D31</f>
        <v>0</v>
      </c>
      <c r="F70" s="303">
        <f>'[39]1.Фінансовий результат'!D69</f>
        <v>0</v>
      </c>
      <c r="G70" s="223">
        <f>'[40]1.Фінансовий результат'!H70</f>
        <v>3.5</v>
      </c>
      <c r="H70" s="223">
        <f>'[41]1.Фінансовий результат'!D70</f>
        <v>0</v>
      </c>
      <c r="I70" s="223">
        <v>0</v>
      </c>
      <c r="J70" s="219">
        <f t="shared" si="5"/>
        <v>0</v>
      </c>
      <c r="K70" s="219"/>
      <c r="L70" s="219"/>
      <c r="M70" s="219"/>
      <c r="N70" s="219"/>
      <c r="O70" s="239"/>
      <c r="P70" s="15"/>
      <c r="R70" s="240"/>
    </row>
    <row r="71" spans="1:18" s="222" customFormat="1" ht="19.5">
      <c r="A71" s="221" t="s">
        <v>314</v>
      </c>
      <c r="B71" s="218">
        <v>13</v>
      </c>
      <c r="C71" s="162">
        <v>13.700000000000001</v>
      </c>
      <c r="D71" s="223">
        <v>0.60000000000000009</v>
      </c>
      <c r="E71" s="223">
        <f>'[38]1.Фінансовий результат'!D33</f>
        <v>1.9</v>
      </c>
      <c r="F71" s="303">
        <f>'[39]1.Фінансовий результат'!D70</f>
        <v>23.7</v>
      </c>
      <c r="G71" s="223">
        <f>'[40]1.Фінансовий результат'!H71</f>
        <v>20.399999999999999</v>
      </c>
      <c r="H71" s="223">
        <f>'[41]1.Фінансовий результат'!D71</f>
        <v>15</v>
      </c>
      <c r="I71" s="223">
        <v>22.4</v>
      </c>
      <c r="J71" s="219">
        <f t="shared" si="5"/>
        <v>51.6</v>
      </c>
      <c r="K71" s="219">
        <f>5.6+15.2-7.5</f>
        <v>13.299999999999997</v>
      </c>
      <c r="L71" s="219">
        <f>5.6+17.6-7.5</f>
        <v>15.700000000000003</v>
      </c>
      <c r="M71" s="219">
        <f>5.6+17.6-7.5-0.7</f>
        <v>15.000000000000004</v>
      </c>
      <c r="N71" s="219">
        <f>5.6+1.2-7.5+0.7+7.6</f>
        <v>7.6</v>
      </c>
      <c r="O71" s="239"/>
      <c r="P71" s="15"/>
      <c r="R71" s="240"/>
    </row>
    <row r="72" spans="1:18" s="222" customFormat="1" ht="33">
      <c r="A72" s="221" t="s">
        <v>355</v>
      </c>
      <c r="B72" s="218">
        <v>14</v>
      </c>
      <c r="C72" s="162">
        <v>3.0999999999999996</v>
      </c>
      <c r="D72" s="223">
        <v>1.0999999999999999</v>
      </c>
      <c r="E72" s="223">
        <f>'[38]1.Фінансовий результат'!D34</f>
        <v>2.6</v>
      </c>
      <c r="F72" s="303">
        <f>'[39]1.Фінансовий результат'!D71</f>
        <v>4</v>
      </c>
      <c r="G72" s="223">
        <f>'[40]1.Фінансовий результат'!H72</f>
        <v>8.8000000000000007</v>
      </c>
      <c r="H72" s="223">
        <f>'[41]1.Фінансовий результат'!D72</f>
        <v>7.1999999999999993</v>
      </c>
      <c r="I72" s="223">
        <v>9.6</v>
      </c>
      <c r="J72" s="219">
        <f>SUM(K72:N72)</f>
        <v>9.6</v>
      </c>
      <c r="K72" s="219">
        <v>2.4</v>
      </c>
      <c r="L72" s="219">
        <f>K72</f>
        <v>2.4</v>
      </c>
      <c r="M72" s="219">
        <f>L72</f>
        <v>2.4</v>
      </c>
      <c r="N72" s="219">
        <f>M72</f>
        <v>2.4</v>
      </c>
      <c r="O72" s="239"/>
      <c r="P72" s="15"/>
      <c r="R72" s="240"/>
    </row>
    <row r="73" spans="1:18" s="222" customFormat="1" ht="19.5">
      <c r="A73" s="221" t="s">
        <v>290</v>
      </c>
      <c r="B73" s="218">
        <v>15</v>
      </c>
      <c r="C73" s="162">
        <v>7.8999999999999995</v>
      </c>
      <c r="D73" s="223">
        <v>8.3000000000000007</v>
      </c>
      <c r="E73" s="223">
        <f>'[38]1.Фінансовий результат'!D35</f>
        <v>8.5</v>
      </c>
      <c r="F73" s="303">
        <f>'[39]1.Фінансовий результат'!D72</f>
        <v>10.899999999999999</v>
      </c>
      <c r="G73" s="223">
        <f>'[40]1.Фінансовий результат'!H73</f>
        <v>12</v>
      </c>
      <c r="H73" s="223">
        <f>'[41]1.Фінансовий результат'!D73</f>
        <v>10.7</v>
      </c>
      <c r="I73" s="223">
        <v>13.2</v>
      </c>
      <c r="J73" s="219">
        <f t="shared" si="5"/>
        <v>13.2</v>
      </c>
      <c r="K73" s="219">
        <v>3.3</v>
      </c>
      <c r="L73" s="219">
        <f>$K$73</f>
        <v>3.3</v>
      </c>
      <c r="M73" s="219">
        <f t="shared" ref="M73:N73" si="20">$K$73</f>
        <v>3.3</v>
      </c>
      <c r="N73" s="219">
        <f t="shared" si="20"/>
        <v>3.3</v>
      </c>
      <c r="O73" s="239"/>
      <c r="P73" s="15"/>
      <c r="R73" s="240"/>
    </row>
    <row r="74" spans="1:18" s="174" customFormat="1" ht="20.100000000000001" customHeight="1">
      <c r="A74" s="172" t="s">
        <v>182</v>
      </c>
      <c r="B74" s="173">
        <v>1110</v>
      </c>
      <c r="C74" s="159">
        <f t="shared" ref="C74:N74" si="21">SUM(C75:C80)</f>
        <v>0</v>
      </c>
      <c r="D74" s="204">
        <f t="shared" si="21"/>
        <v>0</v>
      </c>
      <c r="E74" s="204">
        <f t="shared" si="21"/>
        <v>0</v>
      </c>
      <c r="F74" s="204">
        <f t="shared" si="21"/>
        <v>0</v>
      </c>
      <c r="G74" s="204">
        <f t="shared" si="21"/>
        <v>0</v>
      </c>
      <c r="H74" s="204">
        <f t="shared" si="21"/>
        <v>0</v>
      </c>
      <c r="I74" s="204">
        <v>0</v>
      </c>
      <c r="J74" s="204">
        <f>SUM(J75:J80)</f>
        <v>0</v>
      </c>
      <c r="K74" s="204">
        <f t="shared" si="21"/>
        <v>0</v>
      </c>
      <c r="L74" s="204">
        <f t="shared" si="21"/>
        <v>0</v>
      </c>
      <c r="M74" s="204">
        <f t="shared" si="21"/>
        <v>0</v>
      </c>
      <c r="N74" s="204">
        <f t="shared" si="21"/>
        <v>0</v>
      </c>
      <c r="O74" s="14"/>
      <c r="P74" s="208"/>
      <c r="R74" s="213"/>
    </row>
    <row r="75" spans="1:18" s="177" customFormat="1" ht="20.100000000000001" customHeight="1">
      <c r="A75" s="180" t="s">
        <v>153</v>
      </c>
      <c r="B75" s="215">
        <v>1111</v>
      </c>
      <c r="C75" s="154"/>
      <c r="D75" s="166">
        <f>'[37]1.Фінансовий результат'!D74</f>
        <v>0</v>
      </c>
      <c r="E75" s="166"/>
      <c r="F75" s="303">
        <f>'[39]1.Фінансовий результат'!D74</f>
        <v>0</v>
      </c>
      <c r="G75" s="223">
        <f>'[40]1.Фінансовий результат'!H75</f>
        <v>0</v>
      </c>
      <c r="H75" s="223">
        <f t="shared" ref="H75:H80" si="22">G75</f>
        <v>0</v>
      </c>
      <c r="I75" s="223"/>
      <c r="J75" s="227"/>
      <c r="K75" s="227"/>
      <c r="L75" s="227"/>
      <c r="M75" s="227"/>
      <c r="N75" s="227"/>
      <c r="O75" s="14"/>
      <c r="P75" s="208"/>
      <c r="R75" s="213"/>
    </row>
    <row r="76" spans="1:18" s="177" customFormat="1" ht="20.100000000000001" customHeight="1">
      <c r="A76" s="180" t="s">
        <v>154</v>
      </c>
      <c r="B76" s="215">
        <v>1112</v>
      </c>
      <c r="C76" s="154"/>
      <c r="D76" s="166">
        <f>'[37]1.Фінансовий результат'!D75</f>
        <v>0</v>
      </c>
      <c r="E76" s="166"/>
      <c r="F76" s="303">
        <f>'[39]1.Фінансовий результат'!D75</f>
        <v>0</v>
      </c>
      <c r="G76" s="223">
        <f>'[40]1.Фінансовий результат'!H76</f>
        <v>0</v>
      </c>
      <c r="H76" s="223">
        <f t="shared" si="22"/>
        <v>0</v>
      </c>
      <c r="I76" s="223"/>
      <c r="J76" s="227"/>
      <c r="K76" s="227"/>
      <c r="L76" s="227"/>
      <c r="M76" s="227"/>
      <c r="N76" s="227"/>
      <c r="O76" s="14"/>
      <c r="P76" s="208"/>
      <c r="R76" s="213"/>
    </row>
    <row r="77" spans="1:18" s="177" customFormat="1" ht="20.100000000000001" customHeight="1">
      <c r="A77" s="180" t="s">
        <v>26</v>
      </c>
      <c r="B77" s="215">
        <v>1113</v>
      </c>
      <c r="C77" s="154"/>
      <c r="D77" s="166">
        <f>'[37]1.Фінансовий результат'!D76</f>
        <v>0</v>
      </c>
      <c r="E77" s="166"/>
      <c r="F77" s="303">
        <f>'[39]1.Фінансовий результат'!D76</f>
        <v>0</v>
      </c>
      <c r="G77" s="223">
        <f>'[40]1.Фінансовий результат'!H77</f>
        <v>0</v>
      </c>
      <c r="H77" s="223">
        <f t="shared" si="22"/>
        <v>0</v>
      </c>
      <c r="I77" s="223"/>
      <c r="J77" s="227"/>
      <c r="K77" s="227"/>
      <c r="L77" s="227"/>
      <c r="M77" s="227"/>
      <c r="N77" s="227"/>
      <c r="O77" s="14"/>
      <c r="P77" s="208"/>
      <c r="R77" s="213"/>
    </row>
    <row r="78" spans="1:18" s="177" customFormat="1" ht="37.5">
      <c r="A78" s="180" t="s">
        <v>49</v>
      </c>
      <c r="B78" s="215">
        <v>1114</v>
      </c>
      <c r="C78" s="154"/>
      <c r="D78" s="166">
        <f>'[37]1.Фінансовий результат'!D77</f>
        <v>0</v>
      </c>
      <c r="E78" s="166"/>
      <c r="F78" s="303">
        <f>'[39]1.Фінансовий результат'!D77</f>
        <v>0</v>
      </c>
      <c r="G78" s="223">
        <f>'[40]1.Фінансовий результат'!H78</f>
        <v>0</v>
      </c>
      <c r="H78" s="223">
        <f t="shared" si="22"/>
        <v>0</v>
      </c>
      <c r="I78" s="223"/>
      <c r="J78" s="227"/>
      <c r="K78" s="227"/>
      <c r="L78" s="227"/>
      <c r="M78" s="227"/>
      <c r="N78" s="227"/>
      <c r="O78" s="14"/>
      <c r="P78" s="208"/>
      <c r="R78" s="213"/>
    </row>
    <row r="79" spans="1:18" s="177" customFormat="1" ht="20.100000000000001" customHeight="1">
      <c r="A79" s="180" t="s">
        <v>65</v>
      </c>
      <c r="B79" s="215">
        <v>1115</v>
      </c>
      <c r="C79" s="154"/>
      <c r="D79" s="166">
        <f>'[37]1.Фінансовий результат'!D78</f>
        <v>0</v>
      </c>
      <c r="E79" s="166"/>
      <c r="F79" s="303">
        <f>'[39]1.Фінансовий результат'!D78</f>
        <v>0</v>
      </c>
      <c r="G79" s="223">
        <f>'[40]1.Фінансовий результат'!H79</f>
        <v>0</v>
      </c>
      <c r="H79" s="223">
        <f t="shared" si="22"/>
        <v>0</v>
      </c>
      <c r="I79" s="223"/>
      <c r="J79" s="227"/>
      <c r="K79" s="227"/>
      <c r="L79" s="227"/>
      <c r="M79" s="227"/>
      <c r="N79" s="227"/>
      <c r="O79" s="14"/>
      <c r="P79" s="208"/>
      <c r="R79" s="213"/>
    </row>
    <row r="80" spans="1:18" s="177" customFormat="1" ht="20.100000000000001" customHeight="1">
      <c r="A80" s="180" t="s">
        <v>107</v>
      </c>
      <c r="B80" s="215">
        <v>1116</v>
      </c>
      <c r="C80" s="154"/>
      <c r="D80" s="166">
        <f>'[37]1.Фінансовий результат'!D79</f>
        <v>0</v>
      </c>
      <c r="E80" s="166"/>
      <c r="F80" s="303">
        <f>'[39]1.Фінансовий результат'!D79</f>
        <v>0</v>
      </c>
      <c r="G80" s="223">
        <f>'[40]1.Фінансовий результат'!H80</f>
        <v>0</v>
      </c>
      <c r="H80" s="223">
        <f t="shared" si="22"/>
        <v>0</v>
      </c>
      <c r="I80" s="223"/>
      <c r="J80" s="227"/>
      <c r="K80" s="227"/>
      <c r="L80" s="227"/>
      <c r="M80" s="227"/>
      <c r="N80" s="227"/>
      <c r="O80" s="14"/>
      <c r="P80" s="208"/>
      <c r="Q80" s="249"/>
      <c r="R80" s="213"/>
    </row>
    <row r="81" spans="1:18" s="177" customFormat="1" ht="37.5">
      <c r="A81" s="228" t="s">
        <v>66</v>
      </c>
      <c r="B81" s="173">
        <v>1120</v>
      </c>
      <c r="C81" s="159">
        <f t="shared" ref="C81:M81" si="23">SUM(C82:C86)</f>
        <v>939.5</v>
      </c>
      <c r="D81" s="204">
        <f t="shared" si="23"/>
        <v>1563</v>
      </c>
      <c r="E81" s="204">
        <f t="shared" si="23"/>
        <v>2211.7000000000003</v>
      </c>
      <c r="F81" s="204">
        <f t="shared" si="23"/>
        <v>2982.7999999999993</v>
      </c>
      <c r="G81" s="204">
        <f t="shared" si="23"/>
        <v>3355.9</v>
      </c>
      <c r="H81" s="204">
        <f t="shared" si="23"/>
        <v>4957.8</v>
      </c>
      <c r="I81" s="204">
        <v>4317</v>
      </c>
      <c r="J81" s="204">
        <f t="shared" si="23"/>
        <v>4317</v>
      </c>
      <c r="K81" s="204">
        <f t="shared" si="23"/>
        <v>966.4</v>
      </c>
      <c r="L81" s="204">
        <f t="shared" si="23"/>
        <v>1036.5</v>
      </c>
      <c r="M81" s="204">
        <f t="shared" si="23"/>
        <v>1118.5</v>
      </c>
      <c r="N81" s="204">
        <f>SUM(N82:N86)</f>
        <v>1195.5999999999999</v>
      </c>
      <c r="O81" s="14"/>
      <c r="P81" s="208"/>
      <c r="Q81" s="249"/>
      <c r="R81" s="213"/>
    </row>
    <row r="82" spans="1:18" s="177" customFormat="1" ht="20.100000000000001" customHeight="1">
      <c r="A82" s="180" t="s">
        <v>56</v>
      </c>
      <c r="B82" s="215">
        <v>1121</v>
      </c>
      <c r="C82" s="154"/>
      <c r="D82" s="166">
        <f>'[37]1.Фінансовий результат'!D81</f>
        <v>0</v>
      </c>
      <c r="E82" s="166"/>
      <c r="F82" s="303">
        <f>'[39]1.Фінансовий результат'!D81</f>
        <v>0</v>
      </c>
      <c r="G82" s="223">
        <f>'[40]1.Фінансовий результат'!H82</f>
        <v>0</v>
      </c>
      <c r="H82" s="223">
        <f t="shared" ref="H82:H85" si="24">G82</f>
        <v>0</v>
      </c>
      <c r="I82" s="223"/>
      <c r="J82" s="227"/>
      <c r="K82" s="227"/>
      <c r="L82" s="227"/>
      <c r="M82" s="227"/>
      <c r="N82" s="227"/>
      <c r="O82" s="14"/>
      <c r="P82" s="208"/>
      <c r="Q82" s="249"/>
      <c r="R82" s="213"/>
    </row>
    <row r="83" spans="1:18" s="177" customFormat="1" ht="20.100000000000001" customHeight="1">
      <c r="A83" s="180" t="s">
        <v>37</v>
      </c>
      <c r="B83" s="215">
        <v>1122</v>
      </c>
      <c r="C83" s="154">
        <v>77.099999999999994</v>
      </c>
      <c r="D83" s="166">
        <f>'[37]1.Фінансовий результат'!D82</f>
        <v>0</v>
      </c>
      <c r="E83" s="166">
        <f>'[38]1.Фінансовий результат'!$D$82</f>
        <v>10.8</v>
      </c>
      <c r="F83" s="303">
        <f>'[39]1.Фінансовий результат'!D82</f>
        <v>0</v>
      </c>
      <c r="G83" s="223">
        <f>'[40]1.Фінансовий результат'!H83</f>
        <v>0</v>
      </c>
      <c r="H83" s="223">
        <f t="shared" si="24"/>
        <v>0</v>
      </c>
      <c r="I83" s="223">
        <v>0</v>
      </c>
      <c r="J83" s="227">
        <f>SUM(K83:N83)</f>
        <v>0</v>
      </c>
      <c r="K83" s="227"/>
      <c r="L83" s="227"/>
      <c r="M83" s="227"/>
      <c r="N83" s="227"/>
      <c r="O83" s="14"/>
      <c r="P83" s="208"/>
      <c r="Q83" s="249"/>
      <c r="R83" s="213"/>
    </row>
    <row r="84" spans="1:18" s="177" customFormat="1" ht="14.25" customHeight="1">
      <c r="A84" s="180" t="s">
        <v>47</v>
      </c>
      <c r="B84" s="215">
        <v>1123</v>
      </c>
      <c r="C84" s="154"/>
      <c r="D84" s="166">
        <f>'[37]1.Фінансовий результат'!D83</f>
        <v>0</v>
      </c>
      <c r="E84" s="166"/>
      <c r="F84" s="303">
        <f>'[39]1.Фінансовий результат'!D83</f>
        <v>0</v>
      </c>
      <c r="G84" s="223">
        <f>'[40]1.Фінансовий результат'!H84</f>
        <v>0</v>
      </c>
      <c r="H84" s="223">
        <f t="shared" si="24"/>
        <v>0</v>
      </c>
      <c r="I84" s="223"/>
      <c r="J84" s="227"/>
      <c r="K84" s="227"/>
      <c r="L84" s="227"/>
      <c r="M84" s="227"/>
      <c r="N84" s="227"/>
      <c r="O84" s="14"/>
      <c r="P84" s="208"/>
      <c r="Q84" s="249"/>
      <c r="R84" s="213"/>
    </row>
    <row r="85" spans="1:18" s="177" customFormat="1" ht="20.100000000000001" customHeight="1">
      <c r="A85" s="180" t="s">
        <v>175</v>
      </c>
      <c r="B85" s="215">
        <v>1124</v>
      </c>
      <c r="C85" s="154"/>
      <c r="D85" s="166">
        <f>'[37]1.Фінансовий результат'!D84</f>
        <v>0</v>
      </c>
      <c r="E85" s="166"/>
      <c r="F85" s="303">
        <f>'[39]1.Фінансовий результат'!D84</f>
        <v>0</v>
      </c>
      <c r="G85" s="223">
        <f>'[40]1.Фінансовий результат'!H85</f>
        <v>0</v>
      </c>
      <c r="H85" s="223">
        <f t="shared" si="24"/>
        <v>0</v>
      </c>
      <c r="I85" s="223"/>
      <c r="J85" s="227"/>
      <c r="K85" s="227"/>
      <c r="L85" s="227"/>
      <c r="M85" s="227"/>
      <c r="N85" s="227"/>
      <c r="O85" s="14"/>
      <c r="P85" s="208"/>
      <c r="Q85" s="249"/>
      <c r="R85" s="213"/>
    </row>
    <row r="86" spans="1:18" s="177" customFormat="1" ht="20.100000000000001" customHeight="1">
      <c r="A86" s="180" t="s">
        <v>191</v>
      </c>
      <c r="B86" s="215">
        <v>1125</v>
      </c>
      <c r="C86" s="227">
        <f>SUM(C87:C88)</f>
        <v>862.4</v>
      </c>
      <c r="D86" s="227">
        <f t="shared" ref="D86:N86" si="25">SUM(D87:D88)</f>
        <v>1563</v>
      </c>
      <c r="E86" s="227">
        <f t="shared" si="25"/>
        <v>2200.9</v>
      </c>
      <c r="F86" s="227">
        <f t="shared" si="25"/>
        <v>2982.7999999999993</v>
      </c>
      <c r="G86" s="227">
        <f t="shared" si="25"/>
        <v>3355.9</v>
      </c>
      <c r="H86" s="227">
        <f t="shared" si="25"/>
        <v>4957.8</v>
      </c>
      <c r="I86" s="227">
        <v>4317</v>
      </c>
      <c r="J86" s="227">
        <f t="shared" si="25"/>
        <v>4317</v>
      </c>
      <c r="K86" s="227">
        <f t="shared" si="25"/>
        <v>966.4</v>
      </c>
      <c r="L86" s="227">
        <f t="shared" si="25"/>
        <v>1036.5</v>
      </c>
      <c r="M86" s="227">
        <f t="shared" si="25"/>
        <v>1118.5</v>
      </c>
      <c r="N86" s="227">
        <f t="shared" si="25"/>
        <v>1195.5999999999999</v>
      </c>
      <c r="O86" s="14"/>
      <c r="P86" s="208"/>
      <c r="Q86" s="249"/>
      <c r="R86" s="213"/>
    </row>
    <row r="87" spans="1:18" s="376" customFormat="1" ht="19.5">
      <c r="A87" s="241" t="s">
        <v>348</v>
      </c>
      <c r="B87" s="243">
        <v>1</v>
      </c>
      <c r="C87" s="163">
        <f>C32</f>
        <v>699.3</v>
      </c>
      <c r="D87" s="223">
        <f>D32</f>
        <v>1296.5999999999999</v>
      </c>
      <c r="E87" s="223">
        <f>E32-E88-39.4</f>
        <v>2077.1</v>
      </c>
      <c r="F87" s="303">
        <f>'[39]1.Фінансовий результат'!D86</f>
        <v>2396.4999999999995</v>
      </c>
      <c r="G87" s="223">
        <f>'[40]1.Фінансовий результат'!H87</f>
        <v>3213.5</v>
      </c>
      <c r="H87" s="223">
        <f>'[41]1.Фінансовий результат'!D87</f>
        <v>4844.7</v>
      </c>
      <c r="I87" s="223">
        <v>4252.2</v>
      </c>
      <c r="J87" s="244">
        <f>SUM(K87:N87)</f>
        <v>4252.2</v>
      </c>
      <c r="K87" s="244">
        <f>K32</f>
        <v>966.4</v>
      </c>
      <c r="L87" s="244">
        <f>L32</f>
        <v>1014.9</v>
      </c>
      <c r="M87" s="244">
        <f>M32</f>
        <v>1096.9000000000001</v>
      </c>
      <c r="N87" s="244">
        <f>N32</f>
        <v>1174</v>
      </c>
      <c r="O87" s="239"/>
      <c r="P87" s="15"/>
      <c r="Q87" s="256"/>
      <c r="R87" s="240"/>
    </row>
    <row r="88" spans="1:18" s="376" customFormat="1" ht="20.100000000000001" customHeight="1">
      <c r="A88" s="217" t="s">
        <v>296</v>
      </c>
      <c r="B88" s="242">
        <v>2</v>
      </c>
      <c r="C88" s="163">
        <v>163.1</v>
      </c>
      <c r="D88" s="223">
        <v>266.40000000000003</v>
      </c>
      <c r="E88" s="223">
        <f>'[38]1.Фінансовий результат'!$D$26</f>
        <v>123.8</v>
      </c>
      <c r="F88" s="303">
        <f>'[39]1.Фінансовий результат'!D87</f>
        <v>586.29999999999995</v>
      </c>
      <c r="G88" s="223">
        <f>'[40]1.Фінансовий результат'!H88</f>
        <v>142.4</v>
      </c>
      <c r="H88" s="223">
        <f>'[41]1.Фінансовий результат'!D88</f>
        <v>113.1</v>
      </c>
      <c r="I88" s="223">
        <v>64.800000000000011</v>
      </c>
      <c r="J88" s="244">
        <f>SUM(K88:N88)</f>
        <v>64.800000000000011</v>
      </c>
      <c r="K88" s="244"/>
      <c r="L88" s="244">
        <f>21.6</f>
        <v>21.6</v>
      </c>
      <c r="M88" s="244">
        <f>L88</f>
        <v>21.6</v>
      </c>
      <c r="N88" s="244">
        <f>M88</f>
        <v>21.6</v>
      </c>
      <c r="O88" s="239"/>
      <c r="P88" s="15"/>
      <c r="Q88" s="256"/>
      <c r="R88" s="240"/>
    </row>
    <row r="89" spans="1:18" s="106" customFormat="1" ht="44.25" customHeight="1">
      <c r="A89" s="104" t="s">
        <v>257</v>
      </c>
      <c r="B89" s="107">
        <v>1130</v>
      </c>
      <c r="C89" s="153">
        <f t="shared" ref="C89:N89" si="26">C30+C31-C35-C74-C81</f>
        <v>-590.40000000000066</v>
      </c>
      <c r="D89" s="124">
        <f t="shared" si="26"/>
        <v>-1597.9999999999993</v>
      </c>
      <c r="E89" s="124">
        <f t="shared" si="26"/>
        <v>-1184.000000000003</v>
      </c>
      <c r="F89" s="124">
        <f t="shared" si="26"/>
        <v>-6000.0999999999985</v>
      </c>
      <c r="G89" s="124">
        <f t="shared" si="26"/>
        <v>-7958.5</v>
      </c>
      <c r="H89" s="124">
        <f t="shared" si="26"/>
        <v>-7589.7000000000016</v>
      </c>
      <c r="I89" s="124">
        <v>-10443.199999999999</v>
      </c>
      <c r="J89" s="124">
        <f t="shared" si="26"/>
        <v>-12031.2</v>
      </c>
      <c r="K89" s="124">
        <f t="shared" si="26"/>
        <v>-2539.25</v>
      </c>
      <c r="L89" s="124">
        <f t="shared" si="26"/>
        <v>-3114.55</v>
      </c>
      <c r="M89" s="124">
        <f t="shared" si="26"/>
        <v>-3183.3499999999995</v>
      </c>
      <c r="N89" s="124">
        <f t="shared" si="26"/>
        <v>-3194.0499999999993</v>
      </c>
      <c r="O89" s="14"/>
      <c r="P89" s="208"/>
      <c r="Q89" s="249"/>
      <c r="R89" s="198"/>
    </row>
    <row r="90" spans="1:18" s="174" customFormat="1" ht="20.100000000000001" customHeight="1">
      <c r="A90" s="172" t="s">
        <v>91</v>
      </c>
      <c r="B90" s="173">
        <v>1140</v>
      </c>
      <c r="C90" s="161">
        <f t="shared" ref="C90:N90" si="27">SUM(C91)</f>
        <v>46</v>
      </c>
      <c r="D90" s="168">
        <f t="shared" si="27"/>
        <v>340.40000000000003</v>
      </c>
      <c r="E90" s="168">
        <f t="shared" si="27"/>
        <v>938.7</v>
      </c>
      <c r="F90" s="168">
        <f t="shared" si="27"/>
        <v>5806.4</v>
      </c>
      <c r="G90" s="168">
        <f t="shared" si="27"/>
        <v>7967.7</v>
      </c>
      <c r="H90" s="168">
        <f t="shared" si="27"/>
        <v>7448.85</v>
      </c>
      <c r="I90" s="168">
        <v>10522.2</v>
      </c>
      <c r="J90" s="168">
        <f>SUM(J91)</f>
        <v>12110.2</v>
      </c>
      <c r="K90" s="168">
        <f t="shared" si="27"/>
        <v>2573.8000000000002</v>
      </c>
      <c r="L90" s="168">
        <f t="shared" si="27"/>
        <v>3132.3</v>
      </c>
      <c r="M90" s="168">
        <f t="shared" si="27"/>
        <v>3201.9</v>
      </c>
      <c r="N90" s="168">
        <f t="shared" si="27"/>
        <v>3202.2</v>
      </c>
      <c r="O90" s="14"/>
      <c r="P90" s="208"/>
      <c r="Q90" s="249"/>
      <c r="R90" s="213"/>
    </row>
    <row r="91" spans="1:18" s="220" customFormat="1" ht="42" customHeight="1">
      <c r="A91" s="217" t="s">
        <v>331</v>
      </c>
      <c r="B91" s="218">
        <v>1</v>
      </c>
      <c r="C91" s="164">
        <f>'[36]Факт 2015'!$V$22</f>
        <v>46</v>
      </c>
      <c r="D91" s="223">
        <f>'[37]1.Фінансовий результат'!D88</f>
        <v>340.40000000000003</v>
      </c>
      <c r="E91" s="223">
        <f>E92+E94+E95</f>
        <v>938.7</v>
      </c>
      <c r="F91" s="223">
        <f>F92+F94+F95+F96</f>
        <v>5806.4</v>
      </c>
      <c r="G91" s="223">
        <f>G92+G94+G95+G96</f>
        <v>7967.7</v>
      </c>
      <c r="H91" s="223">
        <f>H92+H94+H95+H96</f>
        <v>7448.85</v>
      </c>
      <c r="I91" s="223">
        <v>10522.2</v>
      </c>
      <c r="J91" s="219">
        <f>SUM(K91:N91)</f>
        <v>12110.2</v>
      </c>
      <c r="K91" s="219">
        <f>K92+K94+K96+K97</f>
        <v>2573.8000000000002</v>
      </c>
      <c r="L91" s="219">
        <f t="shared" ref="L91:N91" si="28">L92+L94+L96+L97</f>
        <v>3132.3</v>
      </c>
      <c r="M91" s="219">
        <f t="shared" si="28"/>
        <v>3201.9</v>
      </c>
      <c r="N91" s="219">
        <f t="shared" si="28"/>
        <v>3202.2</v>
      </c>
      <c r="O91" s="239"/>
      <c r="P91" s="15"/>
      <c r="Q91" s="256"/>
      <c r="R91" s="240"/>
    </row>
    <row r="92" spans="1:18" s="231" customFormat="1" ht="30">
      <c r="A92" s="232" t="s">
        <v>334</v>
      </c>
      <c r="B92" s="229" t="s">
        <v>328</v>
      </c>
      <c r="C92" s="230">
        <f t="shared" ref="C92:D92" si="29">SUM(C93)</f>
        <v>0</v>
      </c>
      <c r="D92" s="230">
        <f t="shared" si="29"/>
        <v>0</v>
      </c>
      <c r="E92" s="230">
        <f>SUM(E93)</f>
        <v>283</v>
      </c>
      <c r="F92" s="230">
        <f t="shared" ref="F92:H92" si="30">SUM(F93)</f>
        <v>1026.0999999999999</v>
      </c>
      <c r="G92" s="230">
        <f t="shared" si="30"/>
        <v>1697</v>
      </c>
      <c r="H92" s="230">
        <f t="shared" si="30"/>
        <v>1541.25</v>
      </c>
      <c r="I92" s="230">
        <v>1546.3000000000002</v>
      </c>
      <c r="J92" s="219">
        <f t="shared" ref="J92:J96" si="31">SUM(K92:N92)</f>
        <v>3809.2000000000003</v>
      </c>
      <c r="K92" s="219">
        <f>SUM(K93)</f>
        <v>571.5</v>
      </c>
      <c r="L92" s="219">
        <f t="shared" ref="L92:N92" si="32">SUM(L93)</f>
        <v>1051.5</v>
      </c>
      <c r="M92" s="219">
        <f t="shared" si="32"/>
        <v>1096.3</v>
      </c>
      <c r="N92" s="219">
        <f t="shared" si="32"/>
        <v>1089.9000000000001</v>
      </c>
      <c r="O92" s="257"/>
      <c r="P92" s="15"/>
      <c r="Q92" s="259"/>
      <c r="R92" s="258"/>
    </row>
    <row r="93" spans="1:18" s="231" customFormat="1">
      <c r="A93" s="232" t="s">
        <v>336</v>
      </c>
      <c r="B93" s="229" t="s">
        <v>335</v>
      </c>
      <c r="C93" s="200"/>
      <c r="D93" s="230"/>
      <c r="E93" s="230">
        <f>'[38]1.Фінансовий результат'!D90</f>
        <v>283</v>
      </c>
      <c r="F93" s="230">
        <f>'[39]1.Фінансовий результат'!D92</f>
        <v>1026.0999999999999</v>
      </c>
      <c r="G93" s="223">
        <f>'[40]1.Фінансовий результат'!H93</f>
        <v>1697</v>
      </c>
      <c r="H93" s="223">
        <f>'[41]1.Фінансовий результат'!$D$93</f>
        <v>1541.25</v>
      </c>
      <c r="I93" s="223">
        <v>1546.3000000000002</v>
      </c>
      <c r="J93" s="230">
        <f t="shared" si="31"/>
        <v>3809.2000000000003</v>
      </c>
      <c r="K93" s="230">
        <f>'[50]фінпідтримка остаточна'!$N$70</f>
        <v>571.5</v>
      </c>
      <c r="L93" s="230">
        <f>'[50]фінпідтримка остаточна'!$Q$70</f>
        <v>1051.5</v>
      </c>
      <c r="M93" s="230">
        <f>'[50]фінпідтримка остаточна'!$T$70</f>
        <v>1096.3</v>
      </c>
      <c r="N93" s="230">
        <f>'[50]фінпідтримка остаточна'!$W$70</f>
        <v>1089.9000000000001</v>
      </c>
      <c r="O93" s="257"/>
      <c r="P93" s="15"/>
      <c r="Q93" s="259"/>
      <c r="R93" s="258"/>
    </row>
    <row r="94" spans="1:18" s="231" customFormat="1" ht="30">
      <c r="A94" s="232" t="s">
        <v>332</v>
      </c>
      <c r="B94" s="229" t="s">
        <v>329</v>
      </c>
      <c r="C94" s="200"/>
      <c r="D94" s="230">
        <f>D91</f>
        <v>340.40000000000003</v>
      </c>
      <c r="E94" s="230">
        <f>'[38]1.Фінансовий результат'!D94</f>
        <v>477.2</v>
      </c>
      <c r="F94" s="230">
        <f>'[39]1.Фінансовий результат'!D96</f>
        <v>730.3</v>
      </c>
      <c r="G94" s="223">
        <f>'[40]1.Фінансовий результат'!H95</f>
        <v>870.69999999999993</v>
      </c>
      <c r="H94" s="223">
        <f>'[41]1.Фінансовий результат'!$D$95</f>
        <v>843.6</v>
      </c>
      <c r="I94" s="223">
        <v>1046.7</v>
      </c>
      <c r="J94" s="219">
        <f t="shared" si="31"/>
        <v>1451.3000000000002</v>
      </c>
      <c r="K94" s="219">
        <f>'[50]фінпідтримка остаточна'!$N$69</f>
        <v>296.5</v>
      </c>
      <c r="L94" s="219">
        <f>'[50]фінпідтримка остаточна'!$Q$69</f>
        <v>375</v>
      </c>
      <c r="M94" s="219">
        <f>'[50]фінпідтримка остаточна'!$T$69</f>
        <v>388.2</v>
      </c>
      <c r="N94" s="219">
        <f>'[50]фінпідтримка остаточна'!$W$69</f>
        <v>391.6</v>
      </c>
      <c r="O94" s="257"/>
      <c r="P94" s="15"/>
      <c r="Q94" s="259"/>
      <c r="R94" s="258"/>
    </row>
    <row r="95" spans="1:18" s="231" customFormat="1" hidden="1" outlineLevel="1">
      <c r="A95" s="232" t="s">
        <v>333</v>
      </c>
      <c r="B95" s="229" t="s">
        <v>341</v>
      </c>
      <c r="C95" s="200"/>
      <c r="D95" s="230"/>
      <c r="E95" s="230">
        <f>'[38]1.Фінансовий результат'!D95</f>
        <v>178.5</v>
      </c>
      <c r="F95" s="230"/>
      <c r="G95" s="223">
        <f>'[40]1.Фінансовий результат'!H96</f>
        <v>0</v>
      </c>
      <c r="H95" s="223">
        <f t="shared" ref="H95" si="33">G95</f>
        <v>0</v>
      </c>
      <c r="I95" s="223">
        <v>0</v>
      </c>
      <c r="J95" s="219">
        <f t="shared" si="31"/>
        <v>0</v>
      </c>
      <c r="K95" s="219"/>
      <c r="L95" s="219"/>
      <c r="M95" s="219"/>
      <c r="N95" s="219"/>
      <c r="O95" s="257"/>
      <c r="P95" s="15"/>
      <c r="Q95" s="259"/>
      <c r="R95" s="258"/>
    </row>
    <row r="96" spans="1:18" s="231" customFormat="1" ht="30" collapsed="1">
      <c r="A96" s="232" t="s">
        <v>350</v>
      </c>
      <c r="B96" s="229" t="s">
        <v>330</v>
      </c>
      <c r="C96" s="200"/>
      <c r="D96" s="230"/>
      <c r="E96" s="230"/>
      <c r="F96" s="230">
        <f>'[39]1.Фінансовий результат'!D99</f>
        <v>4050</v>
      </c>
      <c r="G96" s="223">
        <f>'[40]1.Фінансовий результат'!H97</f>
        <v>5400</v>
      </c>
      <c r="H96" s="223">
        <f>'[41]1.Фінансовий результат'!$D$97</f>
        <v>5064</v>
      </c>
      <c r="I96" s="223">
        <v>6484.7999999999993</v>
      </c>
      <c r="J96" s="219">
        <f t="shared" si="31"/>
        <v>5405.2999999999993</v>
      </c>
      <c r="K96" s="219">
        <v>1351.3</v>
      </c>
      <c r="L96" s="219">
        <f>K96</f>
        <v>1351.3</v>
      </c>
      <c r="M96" s="219">
        <f>L96</f>
        <v>1351.3</v>
      </c>
      <c r="N96" s="219">
        <f>M96+0.1</f>
        <v>1351.3999999999999</v>
      </c>
      <c r="O96" s="257"/>
      <c r="P96" s="15"/>
      <c r="Q96" s="259"/>
      <c r="R96" s="258"/>
    </row>
    <row r="97" spans="1:18" s="231" customFormat="1" ht="30">
      <c r="A97" s="232" t="s">
        <v>365</v>
      </c>
      <c r="B97" s="229" t="s">
        <v>341</v>
      </c>
      <c r="C97" s="200"/>
      <c r="D97" s="230"/>
      <c r="E97" s="230">
        <f>'[38]1.Фінансовий результат'!D97</f>
        <v>0</v>
      </c>
      <c r="F97" s="230"/>
      <c r="G97" s="223">
        <f>'[40]1.Фінансовий результат'!H98</f>
        <v>0</v>
      </c>
      <c r="H97" s="223">
        <f t="shared" ref="H97" si="34">G97</f>
        <v>0</v>
      </c>
      <c r="I97" s="223">
        <v>1444.3999999999999</v>
      </c>
      <c r="J97" s="219">
        <f t="shared" ref="J97" si="35">SUM(K97:N97)</f>
        <v>1444.3999999999999</v>
      </c>
      <c r="K97" s="219">
        <f>[42]Фінпідтримка!$M$71</f>
        <v>354.5</v>
      </c>
      <c r="L97" s="219">
        <f>[42]Фінпідтримка!$P$71</f>
        <v>354.5</v>
      </c>
      <c r="M97" s="219">
        <f>[42]Фінпідтримка!$S$71</f>
        <v>366.1</v>
      </c>
      <c r="N97" s="219">
        <f>[42]Фінпідтримка!$V$71</f>
        <v>369.3</v>
      </c>
      <c r="O97" s="257"/>
      <c r="P97" s="15"/>
      <c r="Q97" s="259"/>
      <c r="R97" s="258"/>
    </row>
    <row r="98" spans="1:18" s="174" customFormat="1" ht="20.100000000000001" customHeight="1">
      <c r="A98" s="172" t="s">
        <v>93</v>
      </c>
      <c r="B98" s="173">
        <v>1150</v>
      </c>
      <c r="C98" s="159"/>
      <c r="D98" s="166">
        <f>'[37]1.Фінансовий результат'!D89</f>
        <v>0</v>
      </c>
      <c r="E98" s="223"/>
      <c r="F98" s="223">
        <f>'[39]1.Фінансовий результат'!D100</f>
        <v>0</v>
      </c>
      <c r="G98" s="223"/>
      <c r="H98" s="223"/>
      <c r="I98" s="223">
        <v>0</v>
      </c>
      <c r="J98" s="166">
        <f t="shared" ref="J98:J104" si="36">SUM(K98:N98)</f>
        <v>0</v>
      </c>
      <c r="K98" s="204"/>
      <c r="L98" s="204"/>
      <c r="M98" s="204"/>
      <c r="N98" s="204"/>
      <c r="O98" s="14"/>
      <c r="P98" s="208"/>
      <c r="Q98" s="249"/>
      <c r="R98" s="213"/>
    </row>
    <row r="99" spans="1:18" s="174" customFormat="1" ht="37.5">
      <c r="A99" s="172" t="s">
        <v>176</v>
      </c>
      <c r="B99" s="173">
        <v>1160</v>
      </c>
      <c r="C99" s="161">
        <f>SUM(C100:C101)</f>
        <v>407.8</v>
      </c>
      <c r="D99" s="168">
        <f>SUM(D100:D101)</f>
        <v>613.00000000000011</v>
      </c>
      <c r="E99" s="168">
        <f t="shared" ref="E99:N99" si="37">SUM(E100:E101)</f>
        <v>122.1</v>
      </c>
      <c r="F99" s="168">
        <f t="shared" si="37"/>
        <v>427.3</v>
      </c>
      <c r="G99" s="168">
        <f t="shared" si="37"/>
        <v>214.3</v>
      </c>
      <c r="H99" s="168">
        <f t="shared" si="37"/>
        <v>588.1</v>
      </c>
      <c r="I99" s="168">
        <v>300.29999999999995</v>
      </c>
      <c r="J99" s="168">
        <f t="shared" si="37"/>
        <v>300.29999999999995</v>
      </c>
      <c r="K99" s="168">
        <f t="shared" si="37"/>
        <v>75</v>
      </c>
      <c r="L99" s="168">
        <f t="shared" si="37"/>
        <v>75</v>
      </c>
      <c r="M99" s="168">
        <f t="shared" si="37"/>
        <v>75.099999999999994</v>
      </c>
      <c r="N99" s="168">
        <f t="shared" si="37"/>
        <v>75.199999999999989</v>
      </c>
      <c r="O99" s="14"/>
      <c r="P99" s="208"/>
      <c r="Q99" s="249"/>
      <c r="R99" s="213"/>
    </row>
    <row r="100" spans="1:18" s="220" customFormat="1" ht="19.5">
      <c r="A100" s="233" t="s">
        <v>297</v>
      </c>
      <c r="B100" s="218">
        <v>1</v>
      </c>
      <c r="C100" s="164">
        <f>'[36]Факт 2015'!$V$20</f>
        <v>407.8</v>
      </c>
      <c r="D100" s="223">
        <f>'[37]1.Фінансовий результат'!D91</f>
        <v>584.90000000000009</v>
      </c>
      <c r="E100" s="223">
        <f>'[38]1.Фінансовий результат'!D99</f>
        <v>15.5</v>
      </c>
      <c r="F100" s="223">
        <f>'[39]1.Фінансовий результат'!D102</f>
        <v>427.3</v>
      </c>
      <c r="G100" s="223">
        <f>'[40]1.Фінансовий результат'!H100</f>
        <v>214.3</v>
      </c>
      <c r="H100" s="223">
        <f>'[41]1.Фінансовий результат'!$D$100</f>
        <v>588.1</v>
      </c>
      <c r="I100" s="223">
        <v>300.29999999999995</v>
      </c>
      <c r="J100" s="219">
        <f t="shared" si="36"/>
        <v>300.29999999999995</v>
      </c>
      <c r="K100" s="219">
        <f>54+21</f>
        <v>75</v>
      </c>
      <c r="L100" s="219">
        <f>K100</f>
        <v>75</v>
      </c>
      <c r="M100" s="219">
        <f>L100+0.1</f>
        <v>75.099999999999994</v>
      </c>
      <c r="N100" s="219">
        <f>M100+0.1</f>
        <v>75.199999999999989</v>
      </c>
      <c r="O100" s="239"/>
      <c r="P100" s="15"/>
      <c r="Q100" s="256"/>
      <c r="R100" s="240"/>
    </row>
    <row r="101" spans="1:18" s="220" customFormat="1" ht="19.5">
      <c r="A101" s="290" t="s">
        <v>321</v>
      </c>
      <c r="B101" s="291">
        <v>2</v>
      </c>
      <c r="C101" s="292"/>
      <c r="D101" s="293">
        <f>'[37]1.Фінансовий результат'!D92</f>
        <v>28.1</v>
      </c>
      <c r="E101" s="293">
        <f>'[38]1.Фінансовий результат'!D100</f>
        <v>106.6</v>
      </c>
      <c r="F101" s="223">
        <f>'[39]1.Фінансовий результат'!D103</f>
        <v>0</v>
      </c>
      <c r="G101" s="223">
        <f>'[40]1.Фінансовий результат'!H101</f>
        <v>0</v>
      </c>
      <c r="H101" s="223">
        <f t="shared" ref="H101" si="38">G101</f>
        <v>0</v>
      </c>
      <c r="I101" s="293">
        <v>0</v>
      </c>
      <c r="J101" s="294">
        <f>SUM(K101:N101)</f>
        <v>0</v>
      </c>
      <c r="K101" s="294"/>
      <c r="L101" s="294"/>
      <c r="M101" s="294"/>
      <c r="N101" s="294"/>
      <c r="O101" s="239"/>
      <c r="P101" s="15"/>
      <c r="Q101" s="256"/>
      <c r="R101" s="240"/>
    </row>
    <row r="102" spans="1:18" s="220" customFormat="1" ht="19.5">
      <c r="A102" s="308"/>
      <c r="B102" s="308"/>
      <c r="C102" s="308"/>
      <c r="D102" s="308"/>
      <c r="E102" s="308"/>
      <c r="F102" s="308"/>
      <c r="G102" s="308"/>
      <c r="H102" s="308"/>
      <c r="I102" s="308"/>
      <c r="J102" s="308"/>
      <c r="K102" s="324"/>
      <c r="L102" s="324"/>
      <c r="M102" s="324"/>
      <c r="N102" s="323" t="s">
        <v>361</v>
      </c>
      <c r="O102" s="239"/>
      <c r="P102" s="208"/>
      <c r="Q102" s="256"/>
      <c r="R102" s="240"/>
    </row>
    <row r="103" spans="1:18" s="174" customFormat="1" ht="37.5">
      <c r="A103" s="295" t="s">
        <v>177</v>
      </c>
      <c r="B103" s="296">
        <v>1170</v>
      </c>
      <c r="C103" s="297">
        <f>SUM(C104:C105)</f>
        <v>5.9</v>
      </c>
      <c r="D103" s="298">
        <f>SUM(D104:D105)</f>
        <v>131.29999999999998</v>
      </c>
      <c r="E103" s="298">
        <f t="shared" ref="E103:N103" si="39">SUM(E104:E105)</f>
        <v>284.10000000000002</v>
      </c>
      <c r="F103" s="298">
        <f t="shared" si="39"/>
        <v>212</v>
      </c>
      <c r="G103" s="298">
        <f t="shared" si="39"/>
        <v>223.2</v>
      </c>
      <c r="H103" s="298">
        <f t="shared" si="39"/>
        <v>119.8</v>
      </c>
      <c r="I103" s="298">
        <v>294.70000000000005</v>
      </c>
      <c r="J103" s="298">
        <f t="shared" si="39"/>
        <v>294.70000000000005</v>
      </c>
      <c r="K103" s="298">
        <f t="shared" si="39"/>
        <v>73.7</v>
      </c>
      <c r="L103" s="298">
        <f t="shared" si="39"/>
        <v>73.7</v>
      </c>
      <c r="M103" s="298">
        <f t="shared" si="39"/>
        <v>73.7</v>
      </c>
      <c r="N103" s="298">
        <f t="shared" si="39"/>
        <v>73.600000000000009</v>
      </c>
      <c r="O103" s="14"/>
      <c r="P103" s="208"/>
      <c r="Q103" s="249"/>
      <c r="R103" s="213"/>
    </row>
    <row r="104" spans="1:18" s="220" customFormat="1" ht="19.5" customHeight="1">
      <c r="A104" s="217" t="s">
        <v>309</v>
      </c>
      <c r="B104" s="218">
        <v>1</v>
      </c>
      <c r="C104" s="162">
        <f>'[36]Факт 2015'!$V$80</f>
        <v>5.9</v>
      </c>
      <c r="D104" s="223">
        <f>'[37]1.Фінансовий результат'!D94</f>
        <v>6.1</v>
      </c>
      <c r="E104" s="223">
        <f>'[38]1.Фінансовий результат'!D102</f>
        <v>6</v>
      </c>
      <c r="F104" s="223">
        <f>'[39]1.Фінансовий результат'!D105</f>
        <v>0</v>
      </c>
      <c r="G104" s="223">
        <f>'[40]1.Фінансовий результат'!H104</f>
        <v>0</v>
      </c>
      <c r="H104" s="223">
        <f>'[41]1.Фінансовий результат'!D104</f>
        <v>0.6</v>
      </c>
      <c r="I104" s="223">
        <v>0</v>
      </c>
      <c r="J104" s="219">
        <f t="shared" si="36"/>
        <v>0</v>
      </c>
      <c r="K104" s="219"/>
      <c r="L104" s="219"/>
      <c r="M104" s="219"/>
      <c r="N104" s="219"/>
      <c r="O104" s="239"/>
      <c r="P104" s="15"/>
      <c r="Q104" s="256"/>
      <c r="R104" s="240"/>
    </row>
    <row r="105" spans="1:18" s="220" customFormat="1" ht="19.5" customHeight="1">
      <c r="A105" s="233" t="s">
        <v>322</v>
      </c>
      <c r="B105" s="218">
        <v>2</v>
      </c>
      <c r="C105" s="162"/>
      <c r="D105" s="223">
        <f>'[37]1.Фінансовий результат'!D95</f>
        <v>125.19999999999999</v>
      </c>
      <c r="E105" s="223">
        <f>'[38]1.Фінансовий результат'!D103</f>
        <v>278.10000000000002</v>
      </c>
      <c r="F105" s="223">
        <f>'[39]1.Фінансовий результат'!D106</f>
        <v>212</v>
      </c>
      <c r="G105" s="223">
        <f>'[40]1.Фінансовий результат'!H105</f>
        <v>223.2</v>
      </c>
      <c r="H105" s="223">
        <f>'[41]1.Фінансовий результат'!D105</f>
        <v>119.2</v>
      </c>
      <c r="I105" s="223">
        <v>294.70000000000005</v>
      </c>
      <c r="J105" s="219">
        <f>SUM(K105:N105)</f>
        <v>294.70000000000005</v>
      </c>
      <c r="K105" s="219">
        <f>'[42]ФОП 01.01.2020рез'!$Z$36</f>
        <v>73.7</v>
      </c>
      <c r="L105" s="219">
        <f>K105</f>
        <v>73.7</v>
      </c>
      <c r="M105" s="219">
        <f>L105</f>
        <v>73.7</v>
      </c>
      <c r="N105" s="219">
        <f>M105-0.1</f>
        <v>73.600000000000009</v>
      </c>
      <c r="O105" s="239"/>
      <c r="P105" s="15"/>
      <c r="Q105" s="256"/>
      <c r="R105" s="240"/>
    </row>
    <row r="106" spans="1:18" s="106" customFormat="1" ht="43.5" customHeight="1">
      <c r="A106" s="104" t="s">
        <v>258</v>
      </c>
      <c r="B106" s="105">
        <v>1200</v>
      </c>
      <c r="C106" s="153">
        <f t="shared" ref="C106:H106" si="40">C89+C90+C99-C98-C103</f>
        <v>-142.50000000000065</v>
      </c>
      <c r="D106" s="124">
        <f t="shared" si="40"/>
        <v>-775.89999999999907</v>
      </c>
      <c r="E106" s="124">
        <f t="shared" si="40"/>
        <v>-407.30000000000291</v>
      </c>
      <c r="F106" s="124">
        <f t="shared" si="40"/>
        <v>21.600000000001103</v>
      </c>
      <c r="G106" s="124">
        <f t="shared" si="40"/>
        <v>0.29999999999984084</v>
      </c>
      <c r="H106" s="124">
        <f t="shared" si="40"/>
        <v>327.44999999999874</v>
      </c>
      <c r="I106" s="124">
        <v>84.600000000001728</v>
      </c>
      <c r="J106" s="124">
        <f>J89+J90+J99-J98-J103</f>
        <v>84.599999999999909</v>
      </c>
      <c r="K106" s="124">
        <f>K89+K90+K99-K98-K103</f>
        <v>35.850000000000179</v>
      </c>
      <c r="L106" s="124">
        <f>L89+L90+L99-L98-L103</f>
        <v>19.049999999999997</v>
      </c>
      <c r="M106" s="124">
        <f>M89+M90+M99-M98-M103</f>
        <v>19.950000000000628</v>
      </c>
      <c r="N106" s="124">
        <f>N89+N90+N99-N98-N103</f>
        <v>9.7500000000005258</v>
      </c>
      <c r="O106" s="14"/>
      <c r="P106" s="208"/>
      <c r="Q106" s="249"/>
      <c r="R106" s="198"/>
    </row>
    <row r="107" spans="1:18" s="381" customFormat="1" ht="20.100000000000001" customHeight="1">
      <c r="A107" s="377" t="s">
        <v>117</v>
      </c>
      <c r="B107" s="378">
        <v>1210</v>
      </c>
      <c r="C107" s="163"/>
      <c r="D107" s="223">
        <f>'[37]1.Фінансовий результат'!D97</f>
        <v>4.4000000000000004</v>
      </c>
      <c r="E107" s="223"/>
      <c r="F107" s="223">
        <f>'[39]1.Фінансовий результат'!D108</f>
        <v>3.3</v>
      </c>
      <c r="G107" s="223">
        <f>'[40]1.Фінансовий результат'!H107</f>
        <v>0</v>
      </c>
      <c r="H107" s="223">
        <f>'[41]1.Фінансовий результат'!$D$107</f>
        <v>6.4</v>
      </c>
      <c r="I107" s="223">
        <v>12.7</v>
      </c>
      <c r="J107" s="223">
        <f>ROUND(J106*15%,1)</f>
        <v>12.7</v>
      </c>
      <c r="K107" s="379"/>
      <c r="L107" s="379"/>
      <c r="M107" s="379"/>
      <c r="N107" s="379"/>
      <c r="O107" s="239"/>
      <c r="P107" s="15"/>
      <c r="Q107" s="256"/>
      <c r="R107" s="380"/>
    </row>
    <row r="108" spans="1:18" s="381" customFormat="1" ht="37.5">
      <c r="A108" s="377" t="s">
        <v>118</v>
      </c>
      <c r="B108" s="378">
        <v>1220</v>
      </c>
      <c r="C108" s="163"/>
      <c r="D108" s="223">
        <f>'[37]1.Фінансовий результат'!D98</f>
        <v>0</v>
      </c>
      <c r="E108" s="223"/>
      <c r="F108" s="223">
        <f>'[39]1.Фінансовий результат'!D109</f>
        <v>0</v>
      </c>
      <c r="G108" s="223">
        <f>'[40]1.Фінансовий результат'!H108</f>
        <v>0</v>
      </c>
      <c r="H108" s="223">
        <f t="shared" ref="H108" si="41">G108</f>
        <v>0</v>
      </c>
      <c r="I108" s="223">
        <v>0</v>
      </c>
      <c r="J108" s="379">
        <f>SUM(K108:N108)</f>
        <v>0</v>
      </c>
      <c r="K108" s="379"/>
      <c r="L108" s="379"/>
      <c r="M108" s="379"/>
      <c r="N108" s="379"/>
      <c r="O108" s="239"/>
      <c r="P108" s="15"/>
      <c r="Q108" s="256"/>
      <c r="R108" s="380"/>
    </row>
    <row r="109" spans="1:18" s="106" customFormat="1" ht="43.5" customHeight="1">
      <c r="A109" s="104" t="s">
        <v>260</v>
      </c>
      <c r="B109" s="105">
        <v>1230</v>
      </c>
      <c r="C109" s="153">
        <f t="shared" ref="C109:N109" si="42">C106-C107</f>
        <v>-142.50000000000065</v>
      </c>
      <c r="D109" s="124">
        <f t="shared" si="42"/>
        <v>-780.29999999999905</v>
      </c>
      <c r="E109" s="124">
        <f t="shared" si="42"/>
        <v>-407.30000000000291</v>
      </c>
      <c r="F109" s="124">
        <f t="shared" si="42"/>
        <v>18.300000000001102</v>
      </c>
      <c r="G109" s="124">
        <f t="shared" si="42"/>
        <v>0.29999999999984084</v>
      </c>
      <c r="H109" s="124">
        <f t="shared" si="42"/>
        <v>321.04999999999876</v>
      </c>
      <c r="I109" s="124">
        <v>71.900000000001725</v>
      </c>
      <c r="J109" s="124">
        <f t="shared" si="42"/>
        <v>71.899999999999906</v>
      </c>
      <c r="K109" s="124">
        <f t="shared" si="42"/>
        <v>35.850000000000179</v>
      </c>
      <c r="L109" s="124">
        <f t="shared" si="42"/>
        <v>19.049999999999997</v>
      </c>
      <c r="M109" s="124">
        <f t="shared" si="42"/>
        <v>19.950000000000628</v>
      </c>
      <c r="N109" s="124">
        <f t="shared" si="42"/>
        <v>9.7500000000005258</v>
      </c>
      <c r="O109" s="14"/>
      <c r="P109" s="208"/>
      <c r="Q109" s="249"/>
      <c r="R109" s="198"/>
    </row>
    <row r="110" spans="1:18" s="175" customFormat="1" ht="20.100000000000001" customHeight="1">
      <c r="A110" s="420" t="s">
        <v>211</v>
      </c>
      <c r="B110" s="420"/>
      <c r="C110" s="420"/>
      <c r="D110" s="420"/>
      <c r="E110" s="420"/>
      <c r="F110" s="420"/>
      <c r="G110" s="420"/>
      <c r="H110" s="420"/>
      <c r="I110" s="420"/>
      <c r="J110" s="420"/>
      <c r="K110" s="420"/>
      <c r="L110" s="420"/>
      <c r="M110" s="420"/>
      <c r="N110" s="420"/>
      <c r="O110" s="14"/>
      <c r="P110" s="208"/>
      <c r="Q110" s="249"/>
      <c r="R110" s="213"/>
    </row>
    <row r="111" spans="1:18" s="174" customFormat="1" ht="20.100000000000001" customHeight="1">
      <c r="A111" s="180" t="s">
        <v>7</v>
      </c>
      <c r="B111" s="215">
        <v>1240</v>
      </c>
      <c r="C111" s="166">
        <f t="shared" ref="C111:H111" si="43">C18+C31+C90+C99</f>
        <v>4646.3999999999996</v>
      </c>
      <c r="D111" s="166">
        <f t="shared" si="43"/>
        <v>8859.3000000000011</v>
      </c>
      <c r="E111" s="166">
        <f t="shared" si="43"/>
        <v>12452.300000000001</v>
      </c>
      <c r="F111" s="166">
        <f t="shared" si="43"/>
        <v>17831.499999999996</v>
      </c>
      <c r="G111" s="166">
        <f t="shared" si="43"/>
        <v>23113.8</v>
      </c>
      <c r="H111" s="166">
        <f t="shared" si="43"/>
        <v>22903.949999999997</v>
      </c>
      <c r="I111" s="166">
        <v>32326.899999999998</v>
      </c>
      <c r="J111" s="166">
        <f>J18+J31+J90+J99</f>
        <v>33179.316666666666</v>
      </c>
      <c r="K111" s="166">
        <f>K18+K31+K90+K99</f>
        <v>8787.6833333333343</v>
      </c>
      <c r="L111" s="166">
        <f>L18+L31+L90+L99</f>
        <v>7539.7833333333338</v>
      </c>
      <c r="M111" s="166">
        <f>M18+M31+M90+M99</f>
        <v>7282.5833333333339</v>
      </c>
      <c r="N111" s="166">
        <f>N18+N31+N90+N99</f>
        <v>9569.2666666666664</v>
      </c>
      <c r="O111" s="14"/>
      <c r="P111" s="208"/>
      <c r="Q111" s="249"/>
      <c r="R111" s="213"/>
    </row>
    <row r="112" spans="1:18" s="174" customFormat="1" ht="20.100000000000001" customHeight="1">
      <c r="A112" s="180" t="s">
        <v>97</v>
      </c>
      <c r="B112" s="215">
        <v>1250</v>
      </c>
      <c r="C112" s="166">
        <f t="shared" ref="C112:H112" si="44">C19+C35+C74+C81+C98+C103+C107</f>
        <v>4788.8999999999996</v>
      </c>
      <c r="D112" s="166">
        <f t="shared" si="44"/>
        <v>9639.5999999999985</v>
      </c>
      <c r="E112" s="166">
        <f t="shared" si="44"/>
        <v>12859.600000000002</v>
      </c>
      <c r="F112" s="166">
        <f t="shared" si="44"/>
        <v>17813.2</v>
      </c>
      <c r="G112" s="166">
        <f t="shared" si="44"/>
        <v>23113.500000000004</v>
      </c>
      <c r="H112" s="166">
        <f t="shared" si="44"/>
        <v>22582.9</v>
      </c>
      <c r="I112" s="166">
        <v>32255</v>
      </c>
      <c r="J112" s="166">
        <f>J19+J35+J74+J81+J98+J103+J107</f>
        <v>33107.416666666657</v>
      </c>
      <c r="K112" s="166">
        <f>K19+K35+K74+K81+K98+K103+K107</f>
        <v>8751.8333333333339</v>
      </c>
      <c r="L112" s="166">
        <f>L19+L35+L74+L81+L98+L103+L107</f>
        <v>7520.7333333333336</v>
      </c>
      <c r="M112" s="166">
        <f>M19+M35+M74+M81+M98+M103+M107</f>
        <v>7262.6333333333332</v>
      </c>
      <c r="N112" s="166">
        <f>N19+N35+N74+N81+N98+N103+N107</f>
        <v>9559.5166666666682</v>
      </c>
      <c r="O112" s="238"/>
      <c r="P112" s="208"/>
      <c r="Q112" s="249"/>
      <c r="R112" s="213"/>
    </row>
    <row r="113" spans="1:18" s="174" customFormat="1" ht="24.75" customHeight="1">
      <c r="A113" s="420" t="s">
        <v>184</v>
      </c>
      <c r="B113" s="420"/>
      <c r="C113" s="420"/>
      <c r="D113" s="420"/>
      <c r="E113" s="420"/>
      <c r="F113" s="420"/>
      <c r="G113" s="420"/>
      <c r="H113" s="420"/>
      <c r="I113" s="420"/>
      <c r="J113" s="420"/>
      <c r="K113" s="420"/>
      <c r="L113" s="420"/>
      <c r="M113" s="420"/>
      <c r="N113" s="420"/>
      <c r="O113" s="238"/>
      <c r="P113" s="208"/>
      <c r="Q113" s="249"/>
      <c r="R113" s="213"/>
    </row>
    <row r="114" spans="1:18" s="174" customFormat="1" ht="24.75" customHeight="1">
      <c r="A114" s="180" t="s">
        <v>212</v>
      </c>
      <c r="B114" s="234">
        <v>1260</v>
      </c>
      <c r="C114" s="167">
        <f t="shared" ref="C114:N114" si="45">C115+C116</f>
        <v>2461.5</v>
      </c>
      <c r="D114" s="167">
        <f>D115+D116</f>
        <v>5610.5000000000009</v>
      </c>
      <c r="E114" s="167">
        <f>E115+E116</f>
        <v>8363.9</v>
      </c>
      <c r="F114" s="167">
        <f>F115+F116</f>
        <v>8542.6</v>
      </c>
      <c r="G114" s="167">
        <f>G115+G116</f>
        <v>10950.2</v>
      </c>
      <c r="H114" s="167">
        <f>H115+H116</f>
        <v>9912.2000000000007</v>
      </c>
      <c r="I114" s="167">
        <v>16582.5</v>
      </c>
      <c r="J114" s="167">
        <f t="shared" si="45"/>
        <v>16417.5</v>
      </c>
      <c r="K114" s="167">
        <f t="shared" si="45"/>
        <v>5150.5499999999993</v>
      </c>
      <c r="L114" s="167">
        <f t="shared" si="45"/>
        <v>3301.3500000000004</v>
      </c>
      <c r="M114" s="167">
        <f t="shared" si="45"/>
        <v>2882.4500000000003</v>
      </c>
      <c r="N114" s="167">
        <f t="shared" si="45"/>
        <v>5083.1499999999996</v>
      </c>
      <c r="O114" s="325"/>
      <c r="P114" s="208"/>
      <c r="Q114" s="249"/>
      <c r="R114" s="213"/>
    </row>
    <row r="115" spans="1:18" s="174" customFormat="1" ht="24.75" customHeight="1">
      <c r="A115" s="180" t="s">
        <v>210</v>
      </c>
      <c r="B115" s="234">
        <v>1261</v>
      </c>
      <c r="C115" s="167">
        <f t="shared" ref="C115:H115" si="46">C20+C25</f>
        <v>11.500000000000009</v>
      </c>
      <c r="D115" s="167">
        <f t="shared" si="46"/>
        <v>799.1</v>
      </c>
      <c r="E115" s="167">
        <f t="shared" si="46"/>
        <v>139.39999999999998</v>
      </c>
      <c r="F115" s="167">
        <f t="shared" si="46"/>
        <v>47.8</v>
      </c>
      <c r="G115" s="167">
        <f t="shared" si="46"/>
        <v>215.6</v>
      </c>
      <c r="H115" s="167">
        <f t="shared" si="46"/>
        <v>41.5</v>
      </c>
      <c r="I115" s="167">
        <v>387.59999999999997</v>
      </c>
      <c r="J115" s="166">
        <f t="shared" ref="J115:J121" si="47">SUM(K115:N115)</f>
        <v>222.6</v>
      </c>
      <c r="K115" s="167">
        <f>K20+K25</f>
        <v>55.65</v>
      </c>
      <c r="L115" s="167">
        <f>L20+L25</f>
        <v>55.65</v>
      </c>
      <c r="M115" s="167">
        <f>M20+M25</f>
        <v>55.65</v>
      </c>
      <c r="N115" s="167">
        <f>N20+N25</f>
        <v>55.65</v>
      </c>
      <c r="O115" s="325"/>
      <c r="P115" s="208"/>
      <c r="Q115" s="249"/>
      <c r="R115" s="213"/>
    </row>
    <row r="116" spans="1:18" s="174" customFormat="1" ht="24.75" customHeight="1">
      <c r="A116" s="180" t="s">
        <v>13</v>
      </c>
      <c r="B116" s="234">
        <v>1262</v>
      </c>
      <c r="C116" s="167">
        <f t="shared" ref="C116:H116" si="48">C21+C22+C63</f>
        <v>2450</v>
      </c>
      <c r="D116" s="167">
        <f t="shared" si="48"/>
        <v>4811.4000000000005</v>
      </c>
      <c r="E116" s="167">
        <f t="shared" si="48"/>
        <v>8224.5</v>
      </c>
      <c r="F116" s="167">
        <f t="shared" si="48"/>
        <v>8494.8000000000011</v>
      </c>
      <c r="G116" s="167">
        <f t="shared" si="48"/>
        <v>10734.6</v>
      </c>
      <c r="H116" s="167">
        <f t="shared" si="48"/>
        <v>9870.7000000000007</v>
      </c>
      <c r="I116" s="167">
        <v>16194.900000000001</v>
      </c>
      <c r="J116" s="166">
        <f t="shared" si="47"/>
        <v>16194.900000000001</v>
      </c>
      <c r="K116" s="167">
        <f>K21+K22+K63</f>
        <v>5094.8999999999996</v>
      </c>
      <c r="L116" s="167">
        <f>L21+L22+L63</f>
        <v>3245.7000000000003</v>
      </c>
      <c r="M116" s="167">
        <f>M21+M22+M63</f>
        <v>2826.8</v>
      </c>
      <c r="N116" s="167">
        <f>N21+N22+N63</f>
        <v>5027.5</v>
      </c>
      <c r="O116" s="325"/>
      <c r="P116" s="208"/>
      <c r="Q116" s="249"/>
      <c r="R116" s="213"/>
    </row>
    <row r="117" spans="1:18" s="174" customFormat="1" ht="24.75" customHeight="1">
      <c r="A117" s="180" t="s">
        <v>3</v>
      </c>
      <c r="B117" s="234">
        <v>1270</v>
      </c>
      <c r="C117" s="167">
        <f t="shared" ref="C117:H118" si="49">C23+C43</f>
        <v>904</v>
      </c>
      <c r="D117" s="167">
        <f t="shared" si="49"/>
        <v>1216.5</v>
      </c>
      <c r="E117" s="167">
        <f t="shared" si="49"/>
        <v>1566.1</v>
      </c>
      <c r="F117" s="167">
        <f t="shared" si="49"/>
        <v>1992.5</v>
      </c>
      <c r="G117" s="167">
        <f t="shared" si="49"/>
        <v>2418.2000000000003</v>
      </c>
      <c r="H117" s="167">
        <f t="shared" si="49"/>
        <v>2461.6</v>
      </c>
      <c r="I117" s="167">
        <v>3536.1</v>
      </c>
      <c r="J117" s="166">
        <f>SUM(K117:N117)</f>
        <v>5994.8</v>
      </c>
      <c r="K117" s="167">
        <f t="shared" ref="K117:N118" si="50">K23+K43</f>
        <v>1093.2</v>
      </c>
      <c r="L117" s="167">
        <f t="shared" si="50"/>
        <v>1581.5</v>
      </c>
      <c r="M117" s="167">
        <f t="shared" si="50"/>
        <v>1651.3</v>
      </c>
      <c r="N117" s="167">
        <f t="shared" si="50"/>
        <v>1668.8000000000002</v>
      </c>
      <c r="O117" s="325"/>
      <c r="P117" s="208"/>
      <c r="Q117" s="249"/>
      <c r="R117" s="213"/>
    </row>
    <row r="118" spans="1:18" s="174" customFormat="1" ht="24.75" customHeight="1">
      <c r="A118" s="180" t="s">
        <v>4</v>
      </c>
      <c r="B118" s="234">
        <v>1280</v>
      </c>
      <c r="C118" s="167">
        <f t="shared" si="49"/>
        <v>280.89999999999998</v>
      </c>
      <c r="D118" s="167">
        <f t="shared" si="49"/>
        <v>237.20000000000002</v>
      </c>
      <c r="E118" s="167">
        <f t="shared" si="49"/>
        <v>308.89999999999998</v>
      </c>
      <c r="F118" s="167">
        <f t="shared" si="49"/>
        <v>373.7</v>
      </c>
      <c r="G118" s="167">
        <f t="shared" si="49"/>
        <v>532.1</v>
      </c>
      <c r="H118" s="167">
        <f t="shared" si="49"/>
        <v>464.90000000000003</v>
      </c>
      <c r="I118" s="167">
        <v>778.2</v>
      </c>
      <c r="J118" s="166">
        <f t="shared" si="47"/>
        <v>1247.6999999999998</v>
      </c>
      <c r="K118" s="167">
        <f t="shared" si="50"/>
        <v>235</v>
      </c>
      <c r="L118" s="167">
        <f t="shared" si="50"/>
        <v>330.29999999999995</v>
      </c>
      <c r="M118" s="167">
        <f t="shared" si="50"/>
        <v>340</v>
      </c>
      <c r="N118" s="167">
        <f t="shared" si="50"/>
        <v>342.4</v>
      </c>
      <c r="O118" s="325"/>
      <c r="P118" s="208"/>
      <c r="Q118" s="249"/>
      <c r="R118" s="213"/>
    </row>
    <row r="119" spans="1:18" s="174" customFormat="1" ht="24.75" customHeight="1">
      <c r="A119" s="180" t="s">
        <v>5</v>
      </c>
      <c r="B119" s="234">
        <v>1290</v>
      </c>
      <c r="C119" s="167">
        <f t="shared" ref="C119:H119" si="51">C26+C45+C87</f>
        <v>777.6</v>
      </c>
      <c r="D119" s="167">
        <f t="shared" si="51"/>
        <v>2074.5000000000005</v>
      </c>
      <c r="E119" s="167">
        <f t="shared" si="51"/>
        <v>2104.5</v>
      </c>
      <c r="F119" s="167">
        <f t="shared" si="51"/>
        <v>2561.7999999999997</v>
      </c>
      <c r="G119" s="167">
        <f t="shared" si="51"/>
        <v>3243.5</v>
      </c>
      <c r="H119" s="167">
        <f t="shared" si="51"/>
        <v>5078.7</v>
      </c>
      <c r="I119" s="167">
        <v>4284.2</v>
      </c>
      <c r="J119" s="166">
        <f t="shared" si="47"/>
        <v>4284.2</v>
      </c>
      <c r="K119" s="167">
        <f>K26+K45+K87</f>
        <v>974.4</v>
      </c>
      <c r="L119" s="167">
        <f>L26+L45+L87</f>
        <v>1022.9</v>
      </c>
      <c r="M119" s="167">
        <f>M26+M45+M87</f>
        <v>1104.9000000000001</v>
      </c>
      <c r="N119" s="167">
        <f>N26+N45+N87</f>
        <v>1182</v>
      </c>
      <c r="O119" s="325"/>
      <c r="P119" s="208"/>
      <c r="Q119" s="249"/>
      <c r="R119" s="213"/>
    </row>
    <row r="120" spans="1:18" s="174" customFormat="1" ht="24.75" customHeight="1">
      <c r="A120" s="180" t="s">
        <v>14</v>
      </c>
      <c r="B120" s="234">
        <v>1300</v>
      </c>
      <c r="C120" s="167">
        <f t="shared" ref="C120:H120" si="52">C27+SUM(C46:C58)+C40+C42+C81-C63+C103-C87</f>
        <v>364.90000000000009</v>
      </c>
      <c r="D120" s="167">
        <f t="shared" si="52"/>
        <v>496.5</v>
      </c>
      <c r="E120" s="167">
        <f t="shared" si="52"/>
        <v>516.20000000000027</v>
      </c>
      <c r="F120" s="167">
        <f t="shared" si="52"/>
        <v>4339.2999999999993</v>
      </c>
      <c r="G120" s="167">
        <f t="shared" si="52"/>
        <v>5969.5</v>
      </c>
      <c r="H120" s="167">
        <f t="shared" si="52"/>
        <v>4659.0999999999995</v>
      </c>
      <c r="I120" s="167">
        <v>7061.2999999999993</v>
      </c>
      <c r="J120" s="166">
        <f t="shared" si="47"/>
        <v>5150.5166666666655</v>
      </c>
      <c r="K120" s="167">
        <f>K27+SUM(K46:K58)+K40+K42+K81-K63+K103-K87</f>
        <v>1298.6833333333329</v>
      </c>
      <c r="L120" s="167">
        <f>L27+SUM(L46:L58)+L40+L42+L81-L63+L103-L87</f>
        <v>1284.6833333333329</v>
      </c>
      <c r="M120" s="167">
        <f>M27+SUM(M46:M58)+M40+M42+M81-M63+M103-M87</f>
        <v>1283.9833333333331</v>
      </c>
      <c r="N120" s="167">
        <f>N27+SUM(N46:N58)+N40+N42+N81-N63+N103-N87</f>
        <v>1283.1666666666665</v>
      </c>
      <c r="O120" s="325"/>
      <c r="P120" s="208"/>
      <c r="Q120" s="249"/>
      <c r="R120" s="213"/>
    </row>
    <row r="121" spans="1:18" s="175" customFormat="1" ht="24.75" customHeight="1">
      <c r="A121" s="172" t="s">
        <v>43</v>
      </c>
      <c r="B121" s="235">
        <v>1310</v>
      </c>
      <c r="C121" s="168">
        <f t="shared" ref="C121:N121" si="53">C114+C117+C118+C119+C120</f>
        <v>4788.8999999999996</v>
      </c>
      <c r="D121" s="168">
        <f>D114+D117+D118+D119+D120</f>
        <v>9635.2000000000007</v>
      </c>
      <c r="E121" s="168">
        <f>E114+E117+E118+E119+E120</f>
        <v>12859.6</v>
      </c>
      <c r="F121" s="168">
        <f>F114+F117+F118+F119+F120</f>
        <v>17809.900000000001</v>
      </c>
      <c r="G121" s="168">
        <f>G114+G117+G118+G119+G120</f>
        <v>23113.5</v>
      </c>
      <c r="H121" s="168">
        <f>H114+H117+H118+H119+H120</f>
        <v>22576.5</v>
      </c>
      <c r="I121" s="168">
        <v>32242.299999999996</v>
      </c>
      <c r="J121" s="204">
        <f t="shared" si="47"/>
        <v>33094.71666666666</v>
      </c>
      <c r="K121" s="168">
        <f t="shared" si="53"/>
        <v>8751.8333333333321</v>
      </c>
      <c r="L121" s="168">
        <f t="shared" si="53"/>
        <v>7520.7333333333336</v>
      </c>
      <c r="M121" s="168">
        <f t="shared" si="53"/>
        <v>7262.6333333333332</v>
      </c>
      <c r="N121" s="168">
        <f t="shared" si="53"/>
        <v>9559.5166666666646</v>
      </c>
      <c r="O121" s="14"/>
      <c r="P121" s="208"/>
      <c r="Q121" s="249"/>
      <c r="R121" s="213"/>
    </row>
    <row r="122" spans="1:18" s="5" customFormat="1" ht="24.75" customHeight="1">
      <c r="A122" s="52"/>
      <c r="B122" s="205"/>
      <c r="C122" s="206"/>
      <c r="D122" s="206"/>
      <c r="E122" s="206"/>
      <c r="F122" s="206"/>
      <c r="G122" s="206"/>
      <c r="H122" s="206"/>
      <c r="I122" s="206"/>
      <c r="J122" s="207"/>
      <c r="K122" s="207"/>
      <c r="L122" s="207"/>
      <c r="M122" s="207"/>
      <c r="N122" s="207"/>
      <c r="O122" s="14"/>
      <c r="P122" s="3"/>
      <c r="R122" s="198"/>
    </row>
    <row r="123" spans="1:18" s="5" customFormat="1" ht="24.75" customHeight="1">
      <c r="A123" s="52"/>
      <c r="B123" s="205"/>
      <c r="C123" s="206"/>
      <c r="D123" s="206"/>
      <c r="E123" s="206"/>
      <c r="F123" s="206"/>
      <c r="G123" s="206"/>
      <c r="H123" s="206"/>
      <c r="I123" s="206"/>
      <c r="J123" s="207"/>
      <c r="K123" s="207"/>
      <c r="L123" s="207"/>
      <c r="M123" s="207"/>
      <c r="N123" s="207"/>
      <c r="O123" s="14"/>
      <c r="P123" s="3"/>
      <c r="R123" s="198"/>
    </row>
    <row r="124" spans="1:18" s="5" customFormat="1" ht="24.75" customHeight="1">
      <c r="A124" s="52"/>
      <c r="B124" s="57"/>
      <c r="C124" s="169"/>
      <c r="D124" s="169"/>
      <c r="E124" s="169"/>
      <c r="F124" s="169"/>
      <c r="G124" s="169"/>
      <c r="H124" s="169"/>
      <c r="I124" s="169"/>
      <c r="J124" s="58"/>
      <c r="K124" s="59"/>
      <c r="L124" s="59"/>
      <c r="M124" s="59"/>
      <c r="N124" s="59"/>
      <c r="O124" s="14"/>
      <c r="P124" s="3"/>
    </row>
    <row r="125" spans="1:18" ht="24.75" customHeight="1">
      <c r="A125" s="421" t="s">
        <v>304</v>
      </c>
      <c r="B125" s="421"/>
      <c r="C125" s="411" t="s">
        <v>88</v>
      </c>
      <c r="D125" s="411"/>
      <c r="E125" s="411"/>
      <c r="F125" s="411"/>
      <c r="G125" s="411"/>
      <c r="H125" s="411"/>
      <c r="I125" s="411"/>
      <c r="J125" s="412"/>
      <c r="K125" s="15"/>
      <c r="L125" s="414" t="s">
        <v>305</v>
      </c>
      <c r="M125" s="414"/>
      <c r="N125" s="414"/>
      <c r="O125" s="14"/>
      <c r="R125" s="5"/>
    </row>
    <row r="126" spans="1:18" s="2" customFormat="1" ht="24.75" customHeight="1">
      <c r="A126" s="63" t="s">
        <v>190</v>
      </c>
      <c r="B126" s="3"/>
      <c r="C126" s="400" t="s">
        <v>306</v>
      </c>
      <c r="D126" s="400"/>
      <c r="E126" s="400"/>
      <c r="F126" s="400"/>
      <c r="G126" s="400"/>
      <c r="H126" s="400"/>
      <c r="I126" s="400"/>
      <c r="J126" s="400"/>
      <c r="K126" s="27"/>
      <c r="L126" s="418" t="s">
        <v>84</v>
      </c>
      <c r="M126" s="418"/>
      <c r="N126" s="418"/>
      <c r="O126" s="14"/>
      <c r="P126" s="3"/>
      <c r="R126" s="5"/>
    </row>
    <row r="127" spans="1:18" ht="20.100000000000001" customHeight="1">
      <c r="A127" s="28"/>
      <c r="C127" s="170"/>
      <c r="D127" s="170"/>
      <c r="E127" s="170"/>
      <c r="F127" s="170"/>
      <c r="G127" s="170"/>
      <c r="H127" s="170"/>
      <c r="I127" s="170"/>
      <c r="J127" s="170"/>
      <c r="K127" s="29"/>
      <c r="L127" s="29"/>
      <c r="M127" s="29"/>
      <c r="N127" s="29"/>
      <c r="O127" s="14"/>
      <c r="R127" s="5"/>
    </row>
    <row r="128" spans="1:18">
      <c r="A128" s="28"/>
      <c r="D128" s="195"/>
      <c r="E128" s="195"/>
      <c r="F128" s="195"/>
      <c r="G128" s="195"/>
      <c r="H128" s="195"/>
      <c r="I128" s="195"/>
      <c r="J128" s="195"/>
      <c r="K128" s="25"/>
      <c r="L128" s="25"/>
      <c r="M128" s="25"/>
      <c r="N128" s="25"/>
      <c r="O128" s="14"/>
      <c r="R128" s="5"/>
    </row>
    <row r="129" spans="1:15">
      <c r="A129" s="28"/>
      <c r="C129" s="170"/>
      <c r="D129" s="170"/>
      <c r="E129" s="170"/>
      <c r="F129" s="170"/>
      <c r="G129" s="170"/>
      <c r="H129" s="170"/>
      <c r="I129" s="170"/>
      <c r="J129" s="170"/>
      <c r="K129" s="29"/>
      <c r="L129" s="29"/>
      <c r="M129" s="29"/>
      <c r="N129" s="29"/>
      <c r="O129" s="14"/>
    </row>
    <row r="130" spans="1:15">
      <c r="A130" s="28"/>
      <c r="C130" s="170"/>
      <c r="D130" s="170"/>
      <c r="E130" s="170"/>
      <c r="F130" s="170"/>
      <c r="G130" s="170"/>
      <c r="H130" s="170"/>
      <c r="I130" s="170"/>
      <c r="J130" s="29"/>
      <c r="K130" s="29"/>
      <c r="L130" s="29"/>
      <c r="M130" s="29"/>
      <c r="N130" s="29"/>
      <c r="O130" s="14"/>
    </row>
    <row r="131" spans="1:15">
      <c r="A131" s="28"/>
      <c r="C131" s="170"/>
      <c r="D131" s="170"/>
      <c r="E131" s="170"/>
      <c r="F131" s="170"/>
      <c r="G131" s="170"/>
      <c r="H131" s="170"/>
      <c r="I131" s="170"/>
      <c r="J131" s="29"/>
      <c r="K131" s="29"/>
      <c r="L131" s="29"/>
      <c r="M131" s="29"/>
      <c r="N131" s="29"/>
      <c r="O131" s="14"/>
    </row>
    <row r="132" spans="1:15">
      <c r="A132" s="28"/>
      <c r="C132" s="170"/>
      <c r="D132" s="170"/>
      <c r="E132" s="170"/>
      <c r="F132" s="170"/>
      <c r="G132" s="170"/>
      <c r="H132" s="170"/>
      <c r="I132" s="170"/>
      <c r="J132" s="29"/>
      <c r="K132" s="29"/>
      <c r="L132" s="29"/>
      <c r="M132" s="29"/>
      <c r="N132" s="29"/>
      <c r="O132" s="14"/>
    </row>
    <row r="133" spans="1:15">
      <c r="A133" s="28"/>
      <c r="C133" s="170"/>
      <c r="D133" s="170"/>
      <c r="E133" s="170"/>
      <c r="F133" s="170"/>
      <c r="G133" s="170"/>
      <c r="H133" s="170"/>
      <c r="I133" s="170"/>
      <c r="J133" s="29"/>
      <c r="K133" s="29"/>
      <c r="L133" s="29"/>
      <c r="M133" s="29"/>
      <c r="N133" s="29"/>
      <c r="O133" s="14"/>
    </row>
    <row r="134" spans="1:15">
      <c r="A134" s="28"/>
      <c r="C134" s="170"/>
      <c r="D134" s="170"/>
      <c r="E134" s="170"/>
      <c r="F134" s="170"/>
      <c r="G134" s="170"/>
      <c r="H134" s="170"/>
      <c r="I134" s="170"/>
      <c r="J134" s="29"/>
      <c r="K134" s="29"/>
      <c r="L134" s="29"/>
      <c r="M134" s="29"/>
      <c r="N134" s="29"/>
      <c r="O134" s="14"/>
    </row>
    <row r="135" spans="1:15">
      <c r="A135" s="28"/>
      <c r="C135" s="170"/>
      <c r="D135" s="170"/>
      <c r="E135" s="170"/>
      <c r="F135" s="170"/>
      <c r="G135" s="170"/>
      <c r="H135" s="170"/>
      <c r="I135" s="170"/>
      <c r="J135" s="29"/>
      <c r="K135" s="29"/>
      <c r="L135" s="29"/>
      <c r="M135" s="29"/>
      <c r="N135" s="29"/>
      <c r="O135" s="14"/>
    </row>
    <row r="136" spans="1:15">
      <c r="A136" s="28"/>
      <c r="C136" s="170"/>
      <c r="D136" s="170"/>
      <c r="E136" s="170"/>
      <c r="F136" s="170"/>
      <c r="G136" s="170"/>
      <c r="H136" s="170"/>
      <c r="I136" s="170"/>
      <c r="J136" s="29"/>
      <c r="K136" s="29"/>
      <c r="L136" s="29"/>
      <c r="M136" s="29"/>
      <c r="N136" s="29"/>
      <c r="O136" s="14"/>
    </row>
    <row r="137" spans="1:15">
      <c r="A137" s="28"/>
      <c r="C137" s="170"/>
      <c r="D137" s="170"/>
      <c r="E137" s="170"/>
      <c r="F137" s="170"/>
      <c r="G137" s="170"/>
      <c r="H137" s="170"/>
      <c r="I137" s="170"/>
      <c r="J137" s="29"/>
      <c r="K137" s="29"/>
      <c r="L137" s="29"/>
      <c r="M137" s="29"/>
      <c r="N137" s="29"/>
      <c r="O137" s="14"/>
    </row>
    <row r="138" spans="1:15">
      <c r="A138" s="28"/>
      <c r="C138" s="170"/>
      <c r="D138" s="170"/>
      <c r="E138" s="170"/>
      <c r="F138" s="170"/>
      <c r="G138" s="170"/>
      <c r="H138" s="170"/>
      <c r="I138" s="170"/>
      <c r="J138" s="29"/>
      <c r="K138" s="29"/>
      <c r="L138" s="29"/>
      <c r="M138" s="29"/>
      <c r="N138" s="29"/>
      <c r="O138" s="14"/>
    </row>
    <row r="139" spans="1:15">
      <c r="A139" s="28"/>
      <c r="C139" s="170"/>
      <c r="D139" s="170"/>
      <c r="E139" s="170"/>
      <c r="F139" s="170"/>
      <c r="G139" s="170"/>
      <c r="H139" s="170"/>
      <c r="I139" s="170"/>
      <c r="J139" s="29"/>
      <c r="K139" s="29"/>
      <c r="L139" s="29"/>
      <c r="M139" s="29"/>
      <c r="N139" s="29"/>
      <c r="O139" s="14"/>
    </row>
    <row r="140" spans="1:15">
      <c r="A140" s="28"/>
      <c r="C140" s="170"/>
      <c r="D140" s="170"/>
      <c r="E140" s="170"/>
      <c r="F140" s="170"/>
      <c r="G140" s="170"/>
      <c r="H140" s="170"/>
      <c r="I140" s="170"/>
      <c r="J140" s="29"/>
      <c r="K140" s="29"/>
      <c r="L140" s="29"/>
      <c r="M140" s="29"/>
      <c r="N140" s="29"/>
      <c r="O140" s="14"/>
    </row>
    <row r="141" spans="1:15">
      <c r="A141" s="28"/>
      <c r="C141" s="170"/>
      <c r="D141" s="170"/>
      <c r="E141" s="170"/>
      <c r="F141" s="170"/>
      <c r="G141" s="170"/>
      <c r="H141" s="170"/>
      <c r="I141" s="170"/>
      <c r="J141" s="29"/>
      <c r="K141" s="29"/>
      <c r="L141" s="29"/>
      <c r="M141" s="29"/>
      <c r="N141" s="29"/>
      <c r="O141" s="14"/>
    </row>
    <row r="142" spans="1:15">
      <c r="A142" s="28"/>
      <c r="C142" s="170"/>
      <c r="D142" s="170"/>
      <c r="E142" s="170"/>
      <c r="F142" s="170"/>
      <c r="G142" s="170"/>
      <c r="H142" s="170"/>
      <c r="I142" s="170"/>
      <c r="J142" s="29"/>
      <c r="K142" s="29"/>
      <c r="L142" s="29"/>
      <c r="M142" s="29"/>
      <c r="N142" s="29"/>
      <c r="O142" s="14"/>
    </row>
    <row r="143" spans="1:15">
      <c r="A143" s="28"/>
      <c r="C143" s="170"/>
      <c r="D143" s="170"/>
      <c r="E143" s="170"/>
      <c r="F143" s="170"/>
      <c r="G143" s="170"/>
      <c r="H143" s="170"/>
      <c r="I143" s="170"/>
      <c r="J143" s="29"/>
      <c r="K143" s="29"/>
      <c r="L143" s="29"/>
      <c r="M143" s="29"/>
      <c r="N143" s="29"/>
      <c r="O143" s="14"/>
    </row>
    <row r="144" spans="1:15">
      <c r="A144" s="28"/>
      <c r="C144" s="170"/>
      <c r="D144" s="170"/>
      <c r="E144" s="170"/>
      <c r="F144" s="170"/>
      <c r="G144" s="170"/>
      <c r="H144" s="170"/>
      <c r="I144" s="170"/>
      <c r="J144" s="29"/>
      <c r="K144" s="29"/>
      <c r="L144" s="29"/>
      <c r="M144" s="29"/>
      <c r="N144" s="29"/>
      <c r="O144" s="14"/>
    </row>
    <row r="145" spans="1:15">
      <c r="A145" s="28"/>
      <c r="C145" s="170"/>
      <c r="D145" s="170"/>
      <c r="E145" s="170"/>
      <c r="F145" s="170"/>
      <c r="G145" s="170"/>
      <c r="H145" s="170"/>
      <c r="I145" s="170"/>
      <c r="J145" s="29"/>
      <c r="K145" s="29"/>
      <c r="L145" s="29"/>
      <c r="M145" s="29"/>
      <c r="N145" s="29"/>
      <c r="O145" s="14"/>
    </row>
    <row r="146" spans="1:15">
      <c r="A146" s="28"/>
      <c r="C146" s="170"/>
      <c r="D146" s="170"/>
      <c r="E146" s="170"/>
      <c r="F146" s="170"/>
      <c r="G146" s="170"/>
      <c r="H146" s="170"/>
      <c r="I146" s="170"/>
      <c r="J146" s="29"/>
      <c r="K146" s="29"/>
      <c r="L146" s="29"/>
      <c r="M146" s="29"/>
      <c r="N146" s="29"/>
      <c r="O146" s="14"/>
    </row>
    <row r="147" spans="1:15">
      <c r="A147" s="28"/>
      <c r="C147" s="170"/>
      <c r="D147" s="170"/>
      <c r="E147" s="170"/>
      <c r="F147" s="170"/>
      <c r="G147" s="170"/>
      <c r="H147" s="170"/>
      <c r="I147" s="170"/>
      <c r="J147" s="29"/>
      <c r="K147" s="29"/>
      <c r="L147" s="29"/>
      <c r="M147" s="29"/>
      <c r="N147" s="29"/>
      <c r="O147" s="14"/>
    </row>
    <row r="148" spans="1:15">
      <c r="A148" s="28"/>
      <c r="C148" s="170"/>
      <c r="D148" s="170"/>
      <c r="E148" s="170"/>
      <c r="F148" s="170"/>
      <c r="G148" s="170"/>
      <c r="H148" s="170"/>
      <c r="I148" s="170"/>
      <c r="J148" s="29"/>
      <c r="K148" s="29"/>
      <c r="L148" s="29"/>
      <c r="M148" s="29"/>
      <c r="N148" s="29"/>
      <c r="O148" s="14"/>
    </row>
    <row r="149" spans="1:15">
      <c r="A149" s="28"/>
      <c r="C149" s="170"/>
      <c r="D149" s="170"/>
      <c r="E149" s="170"/>
      <c r="F149" s="170"/>
      <c r="G149" s="170"/>
      <c r="H149" s="170"/>
      <c r="I149" s="170"/>
      <c r="J149" s="29"/>
      <c r="K149" s="29"/>
      <c r="L149" s="29"/>
      <c r="M149" s="29"/>
      <c r="N149" s="29"/>
      <c r="O149" s="14"/>
    </row>
    <row r="150" spans="1:15">
      <c r="A150" s="28"/>
      <c r="C150" s="170"/>
      <c r="D150" s="170"/>
      <c r="E150" s="170"/>
      <c r="F150" s="170"/>
      <c r="G150" s="170"/>
      <c r="H150" s="170"/>
      <c r="I150" s="170"/>
      <c r="J150" s="29"/>
      <c r="K150" s="29"/>
      <c r="L150" s="29"/>
      <c r="M150" s="29"/>
      <c r="N150" s="29"/>
      <c r="O150" s="14"/>
    </row>
    <row r="151" spans="1:15">
      <c r="A151" s="28"/>
      <c r="C151" s="170"/>
      <c r="D151" s="170"/>
      <c r="E151" s="170"/>
      <c r="F151" s="170"/>
      <c r="G151" s="170"/>
      <c r="H151" s="170"/>
      <c r="I151" s="170"/>
      <c r="J151" s="29"/>
      <c r="K151" s="29"/>
      <c r="L151" s="29"/>
      <c r="M151" s="29"/>
      <c r="N151" s="29"/>
      <c r="O151" s="14"/>
    </row>
    <row r="152" spans="1:15">
      <c r="A152" s="28"/>
      <c r="C152" s="170"/>
      <c r="D152" s="170"/>
      <c r="E152" s="170"/>
      <c r="F152" s="170"/>
      <c r="G152" s="170"/>
      <c r="H152" s="170"/>
      <c r="I152" s="170"/>
      <c r="J152" s="29"/>
      <c r="K152" s="29"/>
      <c r="L152" s="29"/>
      <c r="M152" s="29"/>
      <c r="N152" s="29"/>
      <c r="O152" s="14"/>
    </row>
    <row r="153" spans="1:15">
      <c r="A153" s="28"/>
      <c r="C153" s="170"/>
      <c r="D153" s="170"/>
      <c r="E153" s="170"/>
      <c r="F153" s="170"/>
      <c r="G153" s="170"/>
      <c r="H153" s="170"/>
      <c r="I153" s="170"/>
      <c r="J153" s="29"/>
      <c r="K153" s="29"/>
      <c r="L153" s="29"/>
      <c r="M153" s="29"/>
      <c r="N153" s="29"/>
      <c r="O153" s="14"/>
    </row>
    <row r="154" spans="1:15">
      <c r="A154" s="28"/>
      <c r="C154" s="170"/>
      <c r="D154" s="170"/>
      <c r="E154" s="170"/>
      <c r="F154" s="170"/>
      <c r="G154" s="170"/>
      <c r="H154" s="170"/>
      <c r="I154" s="170"/>
      <c r="J154" s="29"/>
      <c r="K154" s="29"/>
      <c r="L154" s="29"/>
      <c r="M154" s="29"/>
      <c r="N154" s="29"/>
      <c r="O154" s="14"/>
    </row>
    <row r="155" spans="1:15">
      <c r="A155" s="28"/>
      <c r="C155" s="170"/>
      <c r="D155" s="170"/>
      <c r="E155" s="170"/>
      <c r="F155" s="170"/>
      <c r="G155" s="170"/>
      <c r="H155" s="170"/>
      <c r="I155" s="170"/>
      <c r="J155" s="29"/>
      <c r="K155" s="29"/>
      <c r="L155" s="29"/>
      <c r="M155" s="29"/>
      <c r="N155" s="29"/>
      <c r="O155" s="14"/>
    </row>
    <row r="156" spans="1:15">
      <c r="A156" s="28"/>
      <c r="C156" s="170"/>
      <c r="D156" s="170"/>
      <c r="E156" s="170"/>
      <c r="F156" s="170"/>
      <c r="G156" s="170"/>
      <c r="H156" s="170"/>
      <c r="I156" s="170"/>
      <c r="J156" s="29"/>
      <c r="K156" s="29"/>
      <c r="L156" s="29"/>
      <c r="M156" s="29"/>
      <c r="N156" s="29"/>
      <c r="O156" s="14"/>
    </row>
    <row r="157" spans="1:15">
      <c r="A157" s="28"/>
      <c r="C157" s="170"/>
      <c r="D157" s="170"/>
      <c r="E157" s="170"/>
      <c r="F157" s="170"/>
      <c r="G157" s="170"/>
      <c r="H157" s="170"/>
      <c r="I157" s="170"/>
      <c r="J157" s="29"/>
      <c r="K157" s="29"/>
      <c r="L157" s="29"/>
      <c r="M157" s="29"/>
      <c r="N157" s="29"/>
      <c r="O157" s="14"/>
    </row>
    <row r="158" spans="1:15">
      <c r="A158" s="28"/>
      <c r="C158" s="170"/>
      <c r="D158" s="170"/>
      <c r="E158" s="170"/>
      <c r="F158" s="170"/>
      <c r="G158" s="170"/>
      <c r="H158" s="170"/>
      <c r="I158" s="170"/>
      <c r="J158" s="29"/>
      <c r="K158" s="29"/>
      <c r="L158" s="29"/>
      <c r="M158" s="29"/>
      <c r="N158" s="29"/>
      <c r="O158" s="14"/>
    </row>
    <row r="159" spans="1:15">
      <c r="A159" s="28"/>
      <c r="C159" s="170"/>
      <c r="D159" s="170"/>
      <c r="E159" s="170"/>
      <c r="F159" s="170"/>
      <c r="G159" s="170"/>
      <c r="H159" s="170"/>
      <c r="I159" s="170"/>
      <c r="J159" s="29"/>
      <c r="K159" s="29"/>
      <c r="L159" s="29"/>
      <c r="M159" s="29"/>
      <c r="N159" s="29"/>
      <c r="O159" s="14"/>
    </row>
    <row r="160" spans="1:15">
      <c r="A160" s="28"/>
      <c r="C160" s="170"/>
      <c r="D160" s="170"/>
      <c r="E160" s="170"/>
      <c r="F160" s="170"/>
      <c r="G160" s="170"/>
      <c r="H160" s="170"/>
      <c r="I160" s="170"/>
      <c r="J160" s="29"/>
      <c r="K160" s="29"/>
      <c r="L160" s="29"/>
      <c r="M160" s="29"/>
      <c r="N160" s="29"/>
      <c r="O160" s="14"/>
    </row>
    <row r="161" spans="1:15">
      <c r="A161" s="28"/>
      <c r="C161" s="170"/>
      <c r="D161" s="170"/>
      <c r="E161" s="170"/>
      <c r="F161" s="170"/>
      <c r="G161" s="170"/>
      <c r="H161" s="170"/>
      <c r="I161" s="170"/>
      <c r="J161" s="29"/>
      <c r="K161" s="29"/>
      <c r="L161" s="29"/>
      <c r="M161" s="29"/>
      <c r="N161" s="29"/>
      <c r="O161" s="14"/>
    </row>
    <row r="162" spans="1:15">
      <c r="A162" s="28"/>
      <c r="C162" s="170"/>
      <c r="D162" s="170"/>
      <c r="E162" s="170"/>
      <c r="F162" s="170"/>
      <c r="G162" s="170"/>
      <c r="H162" s="170"/>
      <c r="I162" s="170"/>
      <c r="J162" s="29"/>
      <c r="K162" s="29"/>
      <c r="L162" s="29"/>
      <c r="M162" s="29"/>
      <c r="N162" s="29"/>
      <c r="O162" s="14"/>
    </row>
    <row r="163" spans="1:15">
      <c r="A163" s="28"/>
      <c r="C163" s="170"/>
      <c r="D163" s="170"/>
      <c r="E163" s="170"/>
      <c r="F163" s="170"/>
      <c r="G163" s="170"/>
      <c r="H163" s="170"/>
      <c r="I163" s="170"/>
      <c r="J163" s="29"/>
      <c r="K163" s="29"/>
      <c r="L163" s="29"/>
      <c r="M163" s="29"/>
      <c r="N163" s="29"/>
      <c r="O163" s="14"/>
    </row>
    <row r="164" spans="1:15">
      <c r="A164" s="28"/>
      <c r="C164" s="170"/>
      <c r="D164" s="170"/>
      <c r="E164" s="170"/>
      <c r="F164" s="170"/>
      <c r="G164" s="170"/>
      <c r="H164" s="170"/>
      <c r="I164" s="170"/>
      <c r="J164" s="29"/>
      <c r="K164" s="29"/>
      <c r="L164" s="29"/>
      <c r="M164" s="29"/>
      <c r="N164" s="29"/>
      <c r="O164" s="14"/>
    </row>
    <row r="165" spans="1:15">
      <c r="A165" s="28"/>
      <c r="C165" s="170"/>
      <c r="D165" s="170"/>
      <c r="E165" s="170"/>
      <c r="F165" s="170"/>
      <c r="G165" s="170"/>
      <c r="H165" s="170"/>
      <c r="I165" s="170"/>
      <c r="J165" s="29"/>
      <c r="K165" s="29"/>
      <c r="L165" s="29"/>
      <c r="M165" s="29"/>
      <c r="N165" s="29"/>
      <c r="O165" s="14"/>
    </row>
    <row r="166" spans="1:15">
      <c r="A166" s="28"/>
      <c r="C166" s="170"/>
      <c r="D166" s="170"/>
      <c r="E166" s="170"/>
      <c r="F166" s="170"/>
      <c r="G166" s="170"/>
      <c r="H166" s="170"/>
      <c r="I166" s="170"/>
      <c r="J166" s="29"/>
      <c r="K166" s="29"/>
      <c r="L166" s="29"/>
      <c r="M166" s="29"/>
      <c r="N166" s="29"/>
      <c r="O166" s="14"/>
    </row>
    <row r="167" spans="1:15">
      <c r="A167" s="28"/>
      <c r="C167" s="170"/>
      <c r="D167" s="170"/>
      <c r="E167" s="170"/>
      <c r="F167" s="170"/>
      <c r="G167" s="170"/>
      <c r="H167" s="170"/>
      <c r="I167" s="170"/>
      <c r="J167" s="29"/>
      <c r="K167" s="29"/>
      <c r="L167" s="29"/>
      <c r="M167" s="29"/>
      <c r="N167" s="29"/>
      <c r="O167" s="14"/>
    </row>
    <row r="168" spans="1:15">
      <c r="A168" s="28"/>
      <c r="C168" s="170"/>
      <c r="D168" s="170"/>
      <c r="E168" s="170"/>
      <c r="F168" s="170"/>
      <c r="G168" s="170"/>
      <c r="H168" s="170"/>
      <c r="I168" s="170"/>
      <c r="J168" s="29"/>
      <c r="K168" s="29"/>
      <c r="L168" s="29"/>
      <c r="M168" s="29"/>
      <c r="N168" s="29"/>
      <c r="O168" s="14"/>
    </row>
    <row r="169" spans="1:15">
      <c r="A169" s="28"/>
      <c r="C169" s="170"/>
      <c r="D169" s="170"/>
      <c r="E169" s="170"/>
      <c r="F169" s="170"/>
      <c r="G169" s="170"/>
      <c r="H169" s="170"/>
      <c r="I169" s="170"/>
      <c r="J169" s="29"/>
      <c r="K169" s="29"/>
      <c r="L169" s="29"/>
      <c r="M169" s="29"/>
      <c r="N169" s="29"/>
      <c r="O169" s="14"/>
    </row>
    <row r="170" spans="1:15">
      <c r="A170" s="28"/>
      <c r="C170" s="170"/>
      <c r="D170" s="170"/>
      <c r="E170" s="170"/>
      <c r="F170" s="170"/>
      <c r="G170" s="170"/>
      <c r="H170" s="170"/>
      <c r="I170" s="170"/>
      <c r="J170" s="29"/>
      <c r="K170" s="29"/>
      <c r="L170" s="29"/>
      <c r="M170" s="29"/>
      <c r="N170" s="29"/>
      <c r="O170" s="14"/>
    </row>
    <row r="171" spans="1:15">
      <c r="A171" s="28"/>
      <c r="C171" s="170"/>
      <c r="D171" s="170"/>
      <c r="E171" s="170"/>
      <c r="F171" s="170"/>
      <c r="G171" s="170"/>
      <c r="H171" s="170"/>
      <c r="I171" s="170"/>
      <c r="J171" s="29"/>
      <c r="K171" s="29"/>
      <c r="L171" s="29"/>
      <c r="M171" s="29"/>
      <c r="N171" s="29"/>
      <c r="O171" s="14"/>
    </row>
    <row r="172" spans="1:15">
      <c r="A172" s="28"/>
      <c r="C172" s="170"/>
      <c r="D172" s="170"/>
      <c r="E172" s="170"/>
      <c r="F172" s="170"/>
      <c r="G172" s="170"/>
      <c r="H172" s="170"/>
      <c r="I172" s="170"/>
      <c r="J172" s="29"/>
      <c r="K172" s="29"/>
      <c r="L172" s="29"/>
      <c r="M172" s="29"/>
      <c r="N172" s="29"/>
      <c r="O172" s="14"/>
    </row>
    <row r="173" spans="1:15">
      <c r="A173" s="28"/>
      <c r="C173" s="170"/>
      <c r="D173" s="170"/>
      <c r="E173" s="170"/>
      <c r="F173" s="170"/>
      <c r="G173" s="170"/>
      <c r="H173" s="170"/>
      <c r="I173" s="170"/>
      <c r="J173" s="29"/>
      <c r="K173" s="29"/>
      <c r="L173" s="29"/>
      <c r="M173" s="29"/>
      <c r="N173" s="29"/>
      <c r="O173" s="14"/>
    </row>
    <row r="174" spans="1:15">
      <c r="A174" s="28"/>
      <c r="C174" s="170"/>
      <c r="D174" s="170"/>
      <c r="E174" s="170"/>
      <c r="F174" s="170"/>
      <c r="G174" s="170"/>
      <c r="H174" s="170"/>
      <c r="I174" s="170"/>
      <c r="J174" s="29"/>
      <c r="K174" s="29"/>
      <c r="L174" s="29"/>
      <c r="M174" s="29"/>
      <c r="N174" s="29"/>
      <c r="O174" s="14"/>
    </row>
    <row r="175" spans="1:15">
      <c r="A175" s="28"/>
      <c r="C175" s="170"/>
      <c r="D175" s="170"/>
      <c r="E175" s="170"/>
      <c r="F175" s="170"/>
      <c r="G175" s="170"/>
      <c r="H175" s="170"/>
      <c r="I175" s="170"/>
      <c r="J175" s="29"/>
      <c r="K175" s="29"/>
      <c r="L175" s="29"/>
      <c r="M175" s="29"/>
      <c r="N175" s="29"/>
      <c r="O175" s="14"/>
    </row>
    <row r="176" spans="1:15">
      <c r="A176" s="28"/>
      <c r="C176" s="170"/>
      <c r="D176" s="170"/>
      <c r="E176" s="170"/>
      <c r="F176" s="170"/>
      <c r="G176" s="170"/>
      <c r="H176" s="170"/>
      <c r="I176" s="170"/>
      <c r="J176" s="29"/>
      <c r="K176" s="29"/>
      <c r="L176" s="29"/>
      <c r="M176" s="29"/>
      <c r="N176" s="29"/>
      <c r="O176" s="14"/>
    </row>
    <row r="177" spans="1:15">
      <c r="A177" s="28"/>
      <c r="C177" s="170"/>
      <c r="D177" s="170"/>
      <c r="E177" s="170"/>
      <c r="F177" s="170"/>
      <c r="G177" s="170"/>
      <c r="H177" s="170"/>
      <c r="I177" s="170"/>
      <c r="J177" s="29"/>
      <c r="K177" s="29"/>
      <c r="L177" s="29"/>
      <c r="M177" s="29"/>
      <c r="N177" s="29"/>
      <c r="O177" s="14"/>
    </row>
    <row r="178" spans="1:15">
      <c r="A178" s="28"/>
      <c r="C178" s="170"/>
      <c r="D178" s="170"/>
      <c r="E178" s="170"/>
      <c r="F178" s="170"/>
      <c r="G178" s="170"/>
      <c r="H178" s="170"/>
      <c r="I178" s="170"/>
      <c r="J178" s="29"/>
      <c r="K178" s="29"/>
      <c r="L178" s="29"/>
      <c r="M178" s="29"/>
      <c r="N178" s="29"/>
      <c r="O178" s="14"/>
    </row>
    <row r="179" spans="1:15">
      <c r="A179" s="28"/>
      <c r="C179" s="170"/>
      <c r="D179" s="170"/>
      <c r="E179" s="170"/>
      <c r="F179" s="170"/>
      <c r="G179" s="170"/>
      <c r="H179" s="170"/>
      <c r="I179" s="170"/>
      <c r="J179" s="29"/>
      <c r="K179" s="29"/>
      <c r="L179" s="29"/>
      <c r="M179" s="29"/>
      <c r="N179" s="29"/>
      <c r="O179" s="14"/>
    </row>
    <row r="180" spans="1:15">
      <c r="A180" s="28"/>
      <c r="C180" s="170"/>
      <c r="D180" s="170"/>
      <c r="E180" s="170"/>
      <c r="F180" s="170"/>
      <c r="G180" s="170"/>
      <c r="H180" s="170"/>
      <c r="I180" s="170"/>
      <c r="J180" s="29"/>
      <c r="K180" s="29"/>
      <c r="L180" s="29"/>
      <c r="M180" s="29"/>
      <c r="N180" s="29"/>
      <c r="O180" s="14"/>
    </row>
    <row r="181" spans="1:15">
      <c r="A181" s="28"/>
      <c r="C181" s="170"/>
      <c r="D181" s="170"/>
      <c r="E181" s="170"/>
      <c r="F181" s="170"/>
      <c r="G181" s="170"/>
      <c r="H181" s="170"/>
      <c r="I181" s="170"/>
      <c r="J181" s="29"/>
      <c r="K181" s="29"/>
      <c r="L181" s="29"/>
      <c r="M181" s="29"/>
      <c r="N181" s="29"/>
      <c r="O181" s="14"/>
    </row>
    <row r="182" spans="1:15">
      <c r="A182" s="28"/>
      <c r="C182" s="170"/>
      <c r="D182" s="170"/>
      <c r="E182" s="170"/>
      <c r="F182" s="170"/>
      <c r="G182" s="170"/>
      <c r="H182" s="170"/>
      <c r="I182" s="170"/>
      <c r="J182" s="29"/>
      <c r="K182" s="29"/>
      <c r="L182" s="29"/>
      <c r="M182" s="29"/>
      <c r="N182" s="29"/>
      <c r="O182" s="14"/>
    </row>
    <row r="183" spans="1:15">
      <c r="A183" s="28"/>
      <c r="C183" s="170"/>
      <c r="D183" s="170"/>
      <c r="E183" s="170"/>
      <c r="F183" s="170"/>
      <c r="G183" s="170"/>
      <c r="H183" s="170"/>
      <c r="I183" s="170"/>
      <c r="J183" s="29"/>
      <c r="K183" s="29"/>
      <c r="L183" s="29"/>
      <c r="M183" s="29"/>
      <c r="N183" s="29"/>
      <c r="O183" s="14"/>
    </row>
    <row r="184" spans="1:15">
      <c r="A184" s="28"/>
      <c r="C184" s="170"/>
      <c r="D184" s="170"/>
      <c r="E184" s="170"/>
      <c r="F184" s="170"/>
      <c r="G184" s="170"/>
      <c r="H184" s="170"/>
      <c r="I184" s="170"/>
      <c r="J184" s="29"/>
      <c r="K184" s="29"/>
      <c r="L184" s="29"/>
      <c r="M184" s="29"/>
      <c r="N184" s="29"/>
      <c r="O184" s="14"/>
    </row>
    <row r="185" spans="1:15">
      <c r="A185" s="45"/>
      <c r="O185" s="14"/>
    </row>
    <row r="186" spans="1:15">
      <c r="A186" s="45"/>
      <c r="O186" s="14"/>
    </row>
    <row r="187" spans="1:15">
      <c r="A187" s="45"/>
      <c r="O187" s="14"/>
    </row>
    <row r="188" spans="1:15">
      <c r="A188" s="45"/>
      <c r="O188" s="14"/>
    </row>
    <row r="189" spans="1:15">
      <c r="A189" s="45"/>
      <c r="O189" s="14"/>
    </row>
    <row r="190" spans="1:15">
      <c r="A190" s="45"/>
      <c r="O190" s="14"/>
    </row>
    <row r="191" spans="1:15">
      <c r="A191" s="45"/>
      <c r="O191" s="14"/>
    </row>
    <row r="192" spans="1:15">
      <c r="A192" s="45"/>
      <c r="O192" s="14"/>
    </row>
    <row r="193" spans="1:15">
      <c r="A193" s="45"/>
      <c r="O193" s="14"/>
    </row>
    <row r="194" spans="1:15">
      <c r="A194" s="45"/>
      <c r="O194" s="14"/>
    </row>
    <row r="195" spans="1:15">
      <c r="A195" s="45"/>
      <c r="O195" s="14"/>
    </row>
    <row r="196" spans="1:15">
      <c r="A196" s="45"/>
      <c r="O196" s="14"/>
    </row>
    <row r="197" spans="1:15">
      <c r="A197" s="45"/>
      <c r="O197" s="14"/>
    </row>
    <row r="198" spans="1:15">
      <c r="A198" s="45"/>
      <c r="O198" s="14"/>
    </row>
    <row r="199" spans="1:15">
      <c r="A199" s="45"/>
      <c r="O199" s="14"/>
    </row>
    <row r="200" spans="1:15">
      <c r="A200" s="45"/>
      <c r="O200" s="14"/>
    </row>
    <row r="201" spans="1:15">
      <c r="A201" s="45"/>
      <c r="O201" s="14"/>
    </row>
    <row r="202" spans="1:15">
      <c r="A202" s="45"/>
      <c r="O202" s="14"/>
    </row>
    <row r="203" spans="1:15">
      <c r="A203" s="45"/>
      <c r="O203" s="14"/>
    </row>
    <row r="204" spans="1:15">
      <c r="A204" s="45"/>
      <c r="O204" s="14"/>
    </row>
    <row r="205" spans="1:15">
      <c r="A205" s="45"/>
      <c r="O205" s="14"/>
    </row>
    <row r="206" spans="1:15">
      <c r="A206" s="45"/>
      <c r="O206" s="14"/>
    </row>
    <row r="207" spans="1:15">
      <c r="A207" s="45"/>
      <c r="O207" s="14"/>
    </row>
    <row r="208" spans="1:15">
      <c r="A208" s="45"/>
      <c r="O208" s="14"/>
    </row>
    <row r="209" spans="1:15">
      <c r="A209" s="45"/>
      <c r="O209" s="14"/>
    </row>
    <row r="210" spans="1:15">
      <c r="A210" s="45"/>
      <c r="O210" s="14"/>
    </row>
    <row r="211" spans="1:15">
      <c r="A211" s="45"/>
    </row>
    <row r="212" spans="1:15">
      <c r="A212" s="45"/>
    </row>
    <row r="213" spans="1:15">
      <c r="A213" s="45"/>
    </row>
    <row r="214" spans="1:15">
      <c r="A214" s="45"/>
    </row>
    <row r="215" spans="1:15">
      <c r="A215" s="45"/>
    </row>
    <row r="216" spans="1:15">
      <c r="A216" s="45"/>
    </row>
    <row r="217" spans="1:15">
      <c r="A217" s="45"/>
    </row>
    <row r="218" spans="1:15">
      <c r="A218" s="45"/>
    </row>
    <row r="219" spans="1:15">
      <c r="A219" s="45"/>
    </row>
    <row r="220" spans="1:15">
      <c r="A220" s="45"/>
    </row>
    <row r="221" spans="1:15">
      <c r="A221" s="45"/>
    </row>
    <row r="222" spans="1:15">
      <c r="A222" s="45"/>
    </row>
    <row r="223" spans="1:15">
      <c r="A223" s="45"/>
    </row>
    <row r="224" spans="1:15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</sheetData>
  <mergeCells count="20">
    <mergeCell ref="F6:F7"/>
    <mergeCell ref="G6:G7"/>
    <mergeCell ref="H6:H7"/>
    <mergeCell ref="A4:N4"/>
    <mergeCell ref="C126:J126"/>
    <mergeCell ref="L126:N126"/>
    <mergeCell ref="A9:N9"/>
    <mergeCell ref="A110:N110"/>
    <mergeCell ref="B6:B7"/>
    <mergeCell ref="A6:A7"/>
    <mergeCell ref="C6:C7"/>
    <mergeCell ref="K6:N6"/>
    <mergeCell ref="A113:N113"/>
    <mergeCell ref="C125:J125"/>
    <mergeCell ref="L125:N125"/>
    <mergeCell ref="J6:J7"/>
    <mergeCell ref="A125:B125"/>
    <mergeCell ref="D6:D7"/>
    <mergeCell ref="E6:E7"/>
    <mergeCell ref="I6:I7"/>
  </mergeCells>
  <phoneticPr fontId="0" type="noConversion"/>
  <pageMargins left="0.70866141732283472" right="0" top="0.78740157480314965" bottom="0.59055118110236227" header="0.19685039370078741" footer="0.11811023622047245"/>
  <pageSetup paperSize="9" scale="58" fitToHeight="3" orientation="portrait" verticalDpi="300" r:id="rId1"/>
  <headerFooter alignWithMargins="0"/>
  <rowBreaks count="2" manualBreakCount="2">
    <brk id="50" max="13" man="1"/>
    <brk id="10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P189"/>
  <sheetViews>
    <sheetView showZeros="0" view="pageBreakPreview" topLeftCell="A22" zoomScale="75" zoomScaleNormal="75" zoomScaleSheetLayoutView="75" workbookViewId="0">
      <selection activeCell="H1" sqref="H1:H1048576"/>
    </sheetView>
  </sheetViews>
  <sheetFormatPr defaultRowHeight="18.75" outlineLevelRow="1" outlineLevelCol="1"/>
  <cols>
    <col min="1" max="1" width="43.7109375" style="40" customWidth="1"/>
    <col min="2" max="2" width="9.7109375" style="43" customWidth="1"/>
    <col min="3" max="3" width="13" style="43" hidden="1" customWidth="1" outlineLevel="1"/>
    <col min="4" max="4" width="14" style="43" hidden="1" customWidth="1" outlineLevel="1"/>
    <col min="5" max="5" width="15.140625" style="43" hidden="1" customWidth="1" outlineLevel="1"/>
    <col min="6" max="6" width="15.140625" style="43" customWidth="1" collapsed="1"/>
    <col min="7" max="7" width="13.42578125" style="43" hidden="1" customWidth="1" outlineLevel="1"/>
    <col min="8" max="8" width="13.42578125" style="384" customWidth="1" collapsed="1"/>
    <col min="9" max="9" width="13.42578125" style="43" customWidth="1"/>
    <col min="10" max="10" width="11.7109375" style="40" bestFit="1" customWidth="1"/>
    <col min="11" max="14" width="10.42578125" style="40" bestFit="1" customWidth="1"/>
    <col min="15" max="15" width="10" style="40" customWidth="1"/>
    <col min="16" max="16" width="9.5703125" style="40" customWidth="1"/>
    <col min="17" max="16384" width="9.140625" style="40"/>
  </cols>
  <sheetData>
    <row r="1" spans="1:15">
      <c r="N1" s="40">
        <v>5</v>
      </c>
    </row>
    <row r="2" spans="1:15">
      <c r="A2" s="424" t="s">
        <v>368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</row>
    <row r="3" spans="1:15" ht="12" customHeight="1" outlineLevel="1">
      <c r="A3" s="39"/>
      <c r="B3" s="48"/>
      <c r="C3" s="39"/>
      <c r="D3" s="39"/>
      <c r="E3" s="39"/>
      <c r="F3" s="39"/>
      <c r="G3" s="39"/>
      <c r="H3" s="385"/>
      <c r="I3" s="39"/>
      <c r="J3" s="39"/>
      <c r="K3" s="39"/>
      <c r="L3" s="39"/>
      <c r="M3" s="39"/>
      <c r="N3" s="39"/>
    </row>
    <row r="4" spans="1:15" s="260" customFormat="1" ht="38.25" customHeight="1">
      <c r="A4" s="401" t="s">
        <v>195</v>
      </c>
      <c r="B4" s="425" t="s">
        <v>6</v>
      </c>
      <c r="C4" s="396" t="s">
        <v>326</v>
      </c>
      <c r="D4" s="398" t="s">
        <v>337</v>
      </c>
      <c r="E4" s="396" t="str">
        <f>'1.Фінансовий результат'!E6</f>
        <v xml:space="preserve">Факт 2017 року </v>
      </c>
      <c r="F4" s="396" t="str">
        <f>'1.Фінансовий результат'!F6</f>
        <v xml:space="preserve">Факт 2018 року </v>
      </c>
      <c r="G4" s="396" t="str">
        <f>'1.Фінансовий результат'!G6</f>
        <v>Фінансовий план 2019 року</v>
      </c>
      <c r="H4" s="403" t="str">
        <f>'1.Фінансовий результат'!H6</f>
        <v>Факт 2019 року</v>
      </c>
      <c r="I4" s="396" t="str">
        <f>'1.Фінансовий результат'!I6</f>
        <v>Фінансовий план 2020 року</v>
      </c>
      <c r="J4" s="396" t="str">
        <f>'1.Фінансовий результат'!J6</f>
        <v>Плановий 2020 рік  (зі змінами)</v>
      </c>
      <c r="K4" s="402" t="s">
        <v>283</v>
      </c>
      <c r="L4" s="402"/>
      <c r="M4" s="402"/>
      <c r="N4" s="402"/>
    </row>
    <row r="5" spans="1:15" s="260" customFormat="1" ht="58.5" customHeight="1">
      <c r="A5" s="401"/>
      <c r="B5" s="425"/>
      <c r="C5" s="399"/>
      <c r="D5" s="398"/>
      <c r="E5" s="397"/>
      <c r="F5" s="397"/>
      <c r="G5" s="397"/>
      <c r="H5" s="404"/>
      <c r="I5" s="397"/>
      <c r="J5" s="397"/>
      <c r="K5" s="255" t="s">
        <v>155</v>
      </c>
      <c r="L5" s="255" t="s">
        <v>156</v>
      </c>
      <c r="M5" s="255" t="s">
        <v>157</v>
      </c>
      <c r="N5" s="255" t="s">
        <v>58</v>
      </c>
    </row>
    <row r="6" spans="1:15" ht="18" customHeight="1">
      <c r="A6" s="46">
        <v>1</v>
      </c>
      <c r="B6" s="47">
        <v>2</v>
      </c>
      <c r="C6" s="202">
        <v>3</v>
      </c>
      <c r="D6" s="202">
        <v>3</v>
      </c>
      <c r="E6" s="248">
        <v>3</v>
      </c>
      <c r="F6" s="248">
        <v>3</v>
      </c>
      <c r="G6" s="248">
        <v>4</v>
      </c>
      <c r="H6" s="248">
        <v>5</v>
      </c>
      <c r="I6" s="248">
        <v>5</v>
      </c>
      <c r="J6" s="248">
        <v>6</v>
      </c>
      <c r="K6" s="248">
        <v>7</v>
      </c>
      <c r="L6" s="248">
        <v>8</v>
      </c>
      <c r="M6" s="248">
        <v>9</v>
      </c>
      <c r="N6" s="248">
        <v>10</v>
      </c>
    </row>
    <row r="7" spans="1:15" ht="24.95" customHeight="1">
      <c r="A7" s="427" t="s">
        <v>124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</row>
    <row r="8" spans="1:15" ht="56.25">
      <c r="A8" s="41" t="s">
        <v>45</v>
      </c>
      <c r="B8" s="7">
        <v>2000</v>
      </c>
      <c r="C8" s="130">
        <v>-1257.9000000000001</v>
      </c>
      <c r="D8" s="130">
        <f>'[37]2. Розрахунки з бюджетом'!D10</f>
        <v>-1400.4</v>
      </c>
      <c r="E8" s="130">
        <f>D16</f>
        <v>-2180.6999999999994</v>
      </c>
      <c r="F8" s="130">
        <f>E16</f>
        <v>-2588.0000000000023</v>
      </c>
      <c r="G8" s="130">
        <f>F16</f>
        <v>-2569.7000000000012</v>
      </c>
      <c r="H8" s="152">
        <f>G8</f>
        <v>-2569.7000000000012</v>
      </c>
      <c r="I8" s="130">
        <f>H16</f>
        <v>-2248.6500000000024</v>
      </c>
      <c r="J8" s="130">
        <f>H16</f>
        <v>-2248.6500000000024</v>
      </c>
      <c r="K8" s="130">
        <f>J8</f>
        <v>-2248.6500000000024</v>
      </c>
      <c r="L8" s="130">
        <f>K16</f>
        <v>-2212.800000000002</v>
      </c>
      <c r="M8" s="130">
        <f>L16</f>
        <v>-2193.7500000000018</v>
      </c>
      <c r="N8" s="130">
        <f>M16</f>
        <v>-2173.8000000000011</v>
      </c>
      <c r="O8" s="209"/>
    </row>
    <row r="9" spans="1:15" ht="37.5">
      <c r="A9" s="41" t="s">
        <v>261</v>
      </c>
      <c r="B9" s="7">
        <v>2010</v>
      </c>
      <c r="C9" s="130"/>
      <c r="D9" s="130"/>
      <c r="E9" s="130"/>
      <c r="F9" s="130"/>
      <c r="G9" s="130"/>
      <c r="H9" s="152"/>
      <c r="I9" s="130"/>
      <c r="J9" s="130"/>
      <c r="K9" s="131"/>
      <c r="L9" s="131"/>
      <c r="M9" s="131"/>
      <c r="N9" s="131"/>
      <c r="O9" s="209"/>
    </row>
    <row r="10" spans="1:15" ht="20.100000000000001" customHeight="1">
      <c r="A10" s="8" t="s">
        <v>158</v>
      </c>
      <c r="B10" s="7">
        <v>2020</v>
      </c>
      <c r="C10" s="130"/>
      <c r="D10" s="130"/>
      <c r="E10" s="130"/>
      <c r="F10" s="130"/>
      <c r="G10" s="130"/>
      <c r="H10" s="152"/>
      <c r="I10" s="130"/>
      <c r="J10" s="130"/>
      <c r="K10" s="131"/>
      <c r="L10" s="131"/>
      <c r="M10" s="131"/>
      <c r="N10" s="131"/>
      <c r="O10" s="209"/>
    </row>
    <row r="11" spans="1:15" s="42" customFormat="1">
      <c r="A11" s="41" t="s">
        <v>55</v>
      </c>
      <c r="B11" s="7">
        <v>2030</v>
      </c>
      <c r="C11" s="130"/>
      <c r="D11" s="130"/>
      <c r="E11" s="130"/>
      <c r="F11" s="130"/>
      <c r="G11" s="130"/>
      <c r="H11" s="152"/>
      <c r="I11" s="130"/>
      <c r="J11" s="130"/>
      <c r="K11" s="130"/>
      <c r="L11" s="130"/>
      <c r="M11" s="130"/>
      <c r="N11" s="130"/>
      <c r="O11" s="209"/>
    </row>
    <row r="12" spans="1:15" ht="37.5">
      <c r="A12" s="41" t="s">
        <v>112</v>
      </c>
      <c r="B12" s="7">
        <v>2031</v>
      </c>
      <c r="C12" s="130"/>
      <c r="D12" s="130"/>
      <c r="E12" s="130"/>
      <c r="F12" s="130"/>
      <c r="G12" s="130"/>
      <c r="H12" s="152"/>
      <c r="I12" s="130"/>
      <c r="J12" s="130"/>
      <c r="K12" s="130"/>
      <c r="L12" s="130"/>
      <c r="M12" s="130"/>
      <c r="N12" s="130"/>
      <c r="O12" s="209"/>
    </row>
    <row r="13" spans="1:15">
      <c r="A13" s="41" t="s">
        <v>11</v>
      </c>
      <c r="B13" s="7">
        <v>2040</v>
      </c>
      <c r="C13" s="132"/>
      <c r="D13" s="130"/>
      <c r="E13" s="132"/>
      <c r="F13" s="132"/>
      <c r="G13" s="130"/>
      <c r="H13" s="152"/>
      <c r="I13" s="130"/>
      <c r="J13" s="130"/>
      <c r="K13" s="130"/>
      <c r="L13" s="130"/>
      <c r="M13" s="130"/>
      <c r="N13" s="130"/>
      <c r="O13" s="209"/>
    </row>
    <row r="14" spans="1:15">
      <c r="A14" s="41" t="s">
        <v>95</v>
      </c>
      <c r="B14" s="7">
        <v>2050</v>
      </c>
      <c r="C14" s="130"/>
      <c r="D14" s="130"/>
      <c r="E14" s="130"/>
      <c r="F14" s="130"/>
      <c r="G14" s="130"/>
      <c r="H14" s="152"/>
      <c r="I14" s="130"/>
      <c r="J14" s="130"/>
      <c r="K14" s="130"/>
      <c r="L14" s="130"/>
      <c r="M14" s="130"/>
      <c r="N14" s="130"/>
      <c r="O14" s="209"/>
    </row>
    <row r="15" spans="1:15">
      <c r="A15" s="41" t="s">
        <v>96</v>
      </c>
      <c r="B15" s="7">
        <v>2060</v>
      </c>
      <c r="C15" s="130"/>
      <c r="D15" s="130"/>
      <c r="E15" s="130"/>
      <c r="F15" s="130"/>
      <c r="G15" s="130"/>
      <c r="H15" s="152"/>
      <c r="I15" s="130"/>
      <c r="J15" s="130"/>
      <c r="K15" s="130"/>
      <c r="L15" s="130"/>
      <c r="M15" s="130"/>
      <c r="N15" s="130"/>
      <c r="O15" s="209"/>
    </row>
    <row r="16" spans="1:15" ht="56.25">
      <c r="A16" s="41" t="s">
        <v>46</v>
      </c>
      <c r="B16" s="7">
        <v>2070</v>
      </c>
      <c r="C16" s="130">
        <f>C8+'1.Фінансовий результат'!C109</f>
        <v>-1400.4000000000008</v>
      </c>
      <c r="D16" s="130">
        <f>'[37]2. Розрахунки з бюджетом'!D18</f>
        <v>-2180.6999999999994</v>
      </c>
      <c r="E16" s="130">
        <f>E8+'1.Фінансовий результат'!E109</f>
        <v>-2588.0000000000023</v>
      </c>
      <c r="F16" s="130">
        <f>F8+'1.Фінансовий результат'!F109</f>
        <v>-2569.7000000000012</v>
      </c>
      <c r="G16" s="130">
        <f>G8+'1.Фінансовий результат'!G109</f>
        <v>-2569.4000000000015</v>
      </c>
      <c r="H16" s="152">
        <f>H8+'1.Фінансовий результат'!H109</f>
        <v>-2248.6500000000024</v>
      </c>
      <c r="I16" s="152">
        <f>I8+'1.Фінансовий результат'!I109</f>
        <v>-2176.7500000000005</v>
      </c>
      <c r="J16" s="130">
        <f>J8+'1.Фінансовий результат'!J109</f>
        <v>-2176.7500000000023</v>
      </c>
      <c r="K16" s="130">
        <f>K8+'1.Фінансовий результат'!K109</f>
        <v>-2212.800000000002</v>
      </c>
      <c r="L16" s="130">
        <f>L8+'1.Фінансовий результат'!L109</f>
        <v>-2193.7500000000018</v>
      </c>
      <c r="M16" s="130">
        <f>M8+'1.Фінансовий результат'!M109</f>
        <v>-2173.8000000000011</v>
      </c>
      <c r="N16" s="130">
        <f>N8+'1.Фінансовий результат'!N109</f>
        <v>-2164.0500000000006</v>
      </c>
      <c r="O16" s="209"/>
    </row>
    <row r="17" spans="1:15" ht="42" customHeight="1">
      <c r="A17" s="427" t="s">
        <v>125</v>
      </c>
      <c r="B17" s="427"/>
      <c r="C17" s="427"/>
      <c r="D17" s="427"/>
      <c r="E17" s="427"/>
      <c r="F17" s="427"/>
      <c r="G17" s="427"/>
      <c r="H17" s="427"/>
      <c r="I17" s="427"/>
      <c r="J17" s="427"/>
      <c r="K17" s="427"/>
      <c r="L17" s="427"/>
      <c r="M17" s="427"/>
      <c r="N17" s="427"/>
      <c r="O17" s="209"/>
    </row>
    <row r="18" spans="1:15" ht="37.5">
      <c r="A18" s="41" t="s">
        <v>261</v>
      </c>
      <c r="B18" s="7">
        <v>2100</v>
      </c>
      <c r="C18" s="130"/>
      <c r="D18" s="130">
        <f>'[37]2. Розрахунки з бюджетом'!D20</f>
        <v>0</v>
      </c>
      <c r="E18" s="130">
        <f>'[45]2. Розрахунки з бюджетом'!D20+'[46]2. Розрахунки з бюджетом'!K18</f>
        <v>0</v>
      </c>
      <c r="F18" s="130">
        <f>'[39]2. Розрахунки з бюджетом'!D20</f>
        <v>0</v>
      </c>
      <c r="G18" s="130">
        <f>'[47]2. Розрахунки з бюджетом'!G18</f>
        <v>0</v>
      </c>
      <c r="H18" s="152">
        <f>G18</f>
        <v>0</v>
      </c>
      <c r="I18" s="130"/>
      <c r="J18" s="130">
        <f>SUM(K18:N18)</f>
        <v>0</v>
      </c>
      <c r="K18" s="131"/>
      <c r="L18" s="131"/>
      <c r="M18" s="131"/>
      <c r="N18" s="131"/>
      <c r="O18" s="209"/>
    </row>
    <row r="19" spans="1:15" s="42" customFormat="1">
      <c r="A19" s="41" t="s">
        <v>127</v>
      </c>
      <c r="B19" s="47">
        <v>2110</v>
      </c>
      <c r="C19" s="130">
        <f>'1.Фінансовий результат'!C107</f>
        <v>0</v>
      </c>
      <c r="D19" s="130">
        <f>'[37]2. Розрахунки з бюджетом'!D21</f>
        <v>4.4000000000000004</v>
      </c>
      <c r="E19" s="130">
        <f>'[45]2. Розрахунки з бюджетом'!D21+'[46]2. Розрахунки з бюджетом'!K19</f>
        <v>0</v>
      </c>
      <c r="F19" s="130">
        <f>'[39]2. Розрахунки з бюджетом'!D21</f>
        <v>0</v>
      </c>
      <c r="G19" s="130">
        <f>'[47]2. Розрахунки з бюджетом'!G19</f>
        <v>0</v>
      </c>
      <c r="H19" s="152">
        <f t="shared" ref="H19:H25" si="0">G19</f>
        <v>0</v>
      </c>
      <c r="I19" s="130"/>
      <c r="J19" s="130">
        <f>SUM(K19:N19)</f>
        <v>0</v>
      </c>
      <c r="K19" s="130"/>
      <c r="L19" s="130"/>
      <c r="M19" s="130"/>
      <c r="N19" s="130"/>
      <c r="O19" s="209"/>
    </row>
    <row r="20" spans="1:15" ht="75">
      <c r="A20" s="41" t="s">
        <v>229</v>
      </c>
      <c r="B20" s="47">
        <v>2120</v>
      </c>
      <c r="C20" s="152">
        <f>'1.Фінансовий результат'!C16</f>
        <v>698.6</v>
      </c>
      <c r="D20" s="130">
        <f>'[37]2. Розрахунки з бюджетом'!D22</f>
        <v>1338.7</v>
      </c>
      <c r="E20" s="130">
        <f>'[38]2. Розрахунки з бюджетом'!D22</f>
        <v>1914.7</v>
      </c>
      <c r="F20" s="130">
        <f>'[39]2. Розрахунки з бюджетом'!D22</f>
        <v>2646.9</v>
      </c>
      <c r="G20" s="130">
        <f>'[44]2. Розрахунки з бюджетом'!I20</f>
        <v>2016.1</v>
      </c>
      <c r="H20" s="152">
        <f>'[41]2. Розрахунки з бюджетом'!D22</f>
        <v>3373.4</v>
      </c>
      <c r="I20" s="130">
        <v>3450.5</v>
      </c>
      <c r="J20" s="130">
        <f>SUM(K20:N20)</f>
        <v>4341.2833333333328</v>
      </c>
      <c r="K20" s="152">
        <f>'1.Фінансовий результат'!K16</f>
        <v>1294.0166666666667</v>
      </c>
      <c r="L20" s="152">
        <f>'1.Фінансовий результат'!L16</f>
        <v>923.01666666666665</v>
      </c>
      <c r="M20" s="152">
        <f>'1.Фінансовий результат'!M16</f>
        <v>841.2166666666667</v>
      </c>
      <c r="N20" s="152">
        <f>'1.Фінансовий результат'!N16</f>
        <v>1283.0333333333333</v>
      </c>
      <c r="O20" s="209"/>
    </row>
    <row r="21" spans="1:15" ht="75">
      <c r="A21" s="41" t="s">
        <v>230</v>
      </c>
      <c r="B21" s="47">
        <v>2130</v>
      </c>
      <c r="C21" s="152">
        <v>1850.2</v>
      </c>
      <c r="D21" s="130">
        <f>'[37]2. Розрахунки з бюджетом'!D23</f>
        <v>4069.1</v>
      </c>
      <c r="E21" s="130">
        <f>'[38]2. Розрахунки з бюджетом'!D23</f>
        <v>2703.6000000000004</v>
      </c>
      <c r="F21" s="130">
        <f>'[39]2. Розрахунки з бюджетом'!D23</f>
        <v>5709.3</v>
      </c>
      <c r="G21" s="130">
        <f>'[44]2. Розрахунки з бюджетом'!I21</f>
        <v>3290.1849999999999</v>
      </c>
      <c r="H21" s="152">
        <f>'[41]2. Розрахунки з бюджетом'!D23</f>
        <v>6969.2</v>
      </c>
      <c r="I21" s="130">
        <v>4740.2110000000002</v>
      </c>
      <c r="J21" s="130">
        <f>SUM(K21:N21)</f>
        <v>4740.2110000000002</v>
      </c>
      <c r="K21" s="152">
        <f>'[42]бюджет ПДВ'!$E$21/1000</f>
        <v>1272.627</v>
      </c>
      <c r="L21" s="152">
        <f>'[42]бюджет ПДВ'!$I$21/1000</f>
        <v>1058.5129999999999</v>
      </c>
      <c r="M21" s="152">
        <f>'[42]бюджет ПДВ'!$M$21/1000</f>
        <v>1010.802</v>
      </c>
      <c r="N21" s="152">
        <f>'[42]бюджет ПДВ'!$Q$21/1000</f>
        <v>1398.269</v>
      </c>
      <c r="O21" s="209"/>
    </row>
    <row r="22" spans="1:15" s="44" customFormat="1" ht="75">
      <c r="A22" s="53" t="s">
        <v>188</v>
      </c>
      <c r="B22" s="72">
        <v>2140</v>
      </c>
      <c r="C22" s="125">
        <f>C23+C24+C25+C26+C27+C30+C31</f>
        <v>168.2</v>
      </c>
      <c r="D22" s="125">
        <f>'[37]2. Розрахунки з бюджетом'!D24</f>
        <v>276.5</v>
      </c>
      <c r="E22" s="125">
        <f>E23+E24+E25+E26+E27+E30+E31+E29</f>
        <v>365.7</v>
      </c>
      <c r="F22" s="125">
        <f t="shared" ref="F22:N22" si="1">F23+F24+F25+F26+F27+F30+F31+F29</f>
        <v>451.5</v>
      </c>
      <c r="G22" s="125">
        <f t="shared" si="1"/>
        <v>427.27299999999997</v>
      </c>
      <c r="H22" s="386">
        <f t="shared" si="1"/>
        <v>535.79999999999995</v>
      </c>
      <c r="I22" s="125">
        <v>718.73949999999991</v>
      </c>
      <c r="J22" s="125">
        <f>J23+J24+J25+J26+J27+J30+J31+J29</f>
        <v>1212.1860000000001</v>
      </c>
      <c r="K22" s="125">
        <f t="shared" si="1"/>
        <v>223.97400000000002</v>
      </c>
      <c r="L22" s="125">
        <f t="shared" si="1"/>
        <v>319.1925</v>
      </c>
      <c r="M22" s="125">
        <f t="shared" si="1"/>
        <v>332.80349999999999</v>
      </c>
      <c r="N22" s="125">
        <f t="shared" si="1"/>
        <v>336.21600000000001</v>
      </c>
      <c r="O22" s="209"/>
    </row>
    <row r="23" spans="1:15">
      <c r="A23" s="41" t="s">
        <v>70</v>
      </c>
      <c r="B23" s="47">
        <v>2141</v>
      </c>
      <c r="C23" s="130"/>
      <c r="D23" s="130">
        <f>'[37]2. Розрахунки з бюджетом'!D25</f>
        <v>0</v>
      </c>
      <c r="E23" s="130">
        <f>'[45]2. Розрахунки з бюджетом'!D25+'[46]2. Розрахунки з бюджетом'!K23</f>
        <v>0</v>
      </c>
      <c r="F23" s="130">
        <f>'[39]2. Розрахунки з бюджетом'!D25</f>
        <v>0</v>
      </c>
      <c r="G23" s="130">
        <f>'[44]2. Розрахунки з бюджетом'!I23</f>
        <v>0</v>
      </c>
      <c r="H23" s="152">
        <f t="shared" si="0"/>
        <v>0</v>
      </c>
      <c r="I23" s="130">
        <v>0</v>
      </c>
      <c r="J23" s="130">
        <f>SUM(K23:N23)</f>
        <v>0</v>
      </c>
      <c r="K23" s="131"/>
      <c r="L23" s="131"/>
      <c r="M23" s="131"/>
      <c r="N23" s="131"/>
      <c r="O23" s="209"/>
    </row>
    <row r="24" spans="1:15">
      <c r="A24" s="41" t="s">
        <v>87</v>
      </c>
      <c r="B24" s="47">
        <v>2142</v>
      </c>
      <c r="C24" s="130"/>
      <c r="D24" s="130">
        <f>'[37]2. Розрахунки з бюджетом'!D26</f>
        <v>0</v>
      </c>
      <c r="E24" s="130">
        <f>'[45]2. Розрахунки з бюджетом'!D26+'[46]2. Розрахунки з бюджетом'!K24</f>
        <v>0</v>
      </c>
      <c r="F24" s="130">
        <f>'[39]2. Розрахунки з бюджетом'!D26</f>
        <v>0</v>
      </c>
      <c r="G24" s="130">
        <f>'[44]2. Розрахунки з бюджетом'!I24</f>
        <v>0</v>
      </c>
      <c r="H24" s="152">
        <f t="shared" si="0"/>
        <v>0</v>
      </c>
      <c r="I24" s="130">
        <v>0</v>
      </c>
      <c r="J24" s="130">
        <f t="shared" ref="J24:J35" si="2">SUM(K24:N24)</f>
        <v>0</v>
      </c>
      <c r="K24" s="131"/>
      <c r="L24" s="131"/>
      <c r="M24" s="131"/>
      <c r="N24" s="131"/>
      <c r="O24" s="209"/>
    </row>
    <row r="25" spans="1:15">
      <c r="A25" s="41" t="s">
        <v>83</v>
      </c>
      <c r="B25" s="47">
        <v>2143</v>
      </c>
      <c r="C25" s="130"/>
      <c r="D25" s="130">
        <f>'[37]2. Розрахунки з бюджетом'!D27</f>
        <v>0</v>
      </c>
      <c r="E25" s="130">
        <f>'[45]2. Розрахунки з бюджетом'!D27+'[46]2. Розрахунки з бюджетом'!K25</f>
        <v>0</v>
      </c>
      <c r="F25" s="130">
        <f>'[39]2. Розрахунки з бюджетом'!D27</f>
        <v>0</v>
      </c>
      <c r="G25" s="130">
        <f>'[44]2. Розрахунки з бюджетом'!I25</f>
        <v>0</v>
      </c>
      <c r="H25" s="152">
        <f t="shared" si="0"/>
        <v>0</v>
      </c>
      <c r="I25" s="130">
        <v>0</v>
      </c>
      <c r="J25" s="130">
        <f t="shared" si="2"/>
        <v>0</v>
      </c>
      <c r="K25" s="131"/>
      <c r="L25" s="131"/>
      <c r="M25" s="131"/>
      <c r="N25" s="131"/>
      <c r="O25" s="209"/>
    </row>
    <row r="26" spans="1:15">
      <c r="A26" s="41" t="s">
        <v>68</v>
      </c>
      <c r="B26" s="47">
        <v>2144</v>
      </c>
      <c r="C26" s="130">
        <v>130.69999999999999</v>
      </c>
      <c r="D26" s="130">
        <f>'[37]2. Розрахунки з бюджетом'!D28</f>
        <v>227.6</v>
      </c>
      <c r="E26" s="130">
        <f>'[38]2. Розрахунки з бюджетом'!D28</f>
        <v>307.7</v>
      </c>
      <c r="F26" s="130">
        <f>'[39]2. Розрахунки з бюджетом'!D28</f>
        <v>391</v>
      </c>
      <c r="G26" s="130">
        <f>'[44]2. Розрахунки з бюджетом'!I26</f>
        <v>371.05199999999996</v>
      </c>
      <c r="H26" s="152">
        <f>'[41]2. Розрахунки з бюджетом'!D28</f>
        <v>466.9</v>
      </c>
      <c r="I26" s="130">
        <v>636.49799999999993</v>
      </c>
      <c r="J26" s="130">
        <f t="shared" si="2"/>
        <v>1079.0640000000001</v>
      </c>
      <c r="K26" s="130">
        <f>('1.Фінансовий результат'!K117)*18%</f>
        <v>196.77600000000001</v>
      </c>
      <c r="L26" s="130">
        <f>('1.Фінансовий результат'!L117)*18%</f>
        <v>284.67</v>
      </c>
      <c r="M26" s="130">
        <f>('1.Фінансовий результат'!M117)*18%</f>
        <v>297.23399999999998</v>
      </c>
      <c r="N26" s="130">
        <f>('1.Фінансовий результат'!N117)*18%</f>
        <v>300.38400000000001</v>
      </c>
      <c r="O26" s="209"/>
    </row>
    <row r="27" spans="1:15" s="42" customFormat="1" ht="37.5">
      <c r="A27" s="41" t="s">
        <v>141</v>
      </c>
      <c r="B27" s="47">
        <v>2145</v>
      </c>
      <c r="C27" s="130">
        <f>SUM(C28:C29)</f>
        <v>5.9</v>
      </c>
      <c r="D27" s="130">
        <f>'[37]2. Розрахунки з бюджетом'!D29</f>
        <v>0</v>
      </c>
      <c r="E27" s="130">
        <f>'[45]2. Розрахунки з бюджетом'!D29+'[46]2. Розрахунки з бюджетом'!K27</f>
        <v>0</v>
      </c>
      <c r="F27" s="130">
        <f>'[39]2. Розрахунки з бюджетом'!D29</f>
        <v>0</v>
      </c>
      <c r="G27" s="130">
        <f>'[44]2. Розрахунки з бюджетом'!I27</f>
        <v>0</v>
      </c>
      <c r="H27" s="152">
        <f>'[41]2. Розрахунки з бюджетом'!D29</f>
        <v>0</v>
      </c>
      <c r="I27" s="130">
        <v>0</v>
      </c>
      <c r="J27" s="130">
        <f t="shared" si="2"/>
        <v>0</v>
      </c>
      <c r="K27" s="130"/>
      <c r="L27" s="130"/>
      <c r="M27" s="130"/>
      <c r="N27" s="130"/>
      <c r="O27" s="209"/>
    </row>
    <row r="28" spans="1:15" ht="93.75">
      <c r="A28" s="41" t="s">
        <v>192</v>
      </c>
      <c r="B28" s="47" t="s">
        <v>178</v>
      </c>
      <c r="C28" s="130"/>
      <c r="D28" s="130">
        <f>'[37]2. Розрахунки з бюджетом'!D30</f>
        <v>0</v>
      </c>
      <c r="E28" s="130">
        <f>'[45]2. Розрахунки з бюджетом'!D30+'[46]2. Розрахунки з бюджетом'!K28</f>
        <v>0</v>
      </c>
      <c r="F28" s="130">
        <f>'[39]2. Розрахунки з бюджетом'!D30</f>
        <v>0</v>
      </c>
      <c r="G28" s="130">
        <f>'[44]2. Розрахунки з бюджетом'!I28</f>
        <v>0</v>
      </c>
      <c r="H28" s="152">
        <f>'[41]2. Розрахунки з бюджетом'!D30</f>
        <v>0</v>
      </c>
      <c r="I28" s="130">
        <v>0</v>
      </c>
      <c r="J28" s="130">
        <f t="shared" si="2"/>
        <v>0</v>
      </c>
      <c r="K28" s="131"/>
      <c r="L28" s="131"/>
      <c r="M28" s="131"/>
      <c r="N28" s="131"/>
      <c r="O28" s="209"/>
    </row>
    <row r="29" spans="1:15">
      <c r="A29" s="41" t="s">
        <v>12</v>
      </c>
      <c r="B29" s="47" t="s">
        <v>179</v>
      </c>
      <c r="C29" s="130">
        <f>'1.Фінансовий результат'!C104</f>
        <v>5.9</v>
      </c>
      <c r="D29" s="130">
        <f>'[37]2. Розрахунки з бюджетом'!D31</f>
        <v>6.1</v>
      </c>
      <c r="E29" s="130">
        <f>'[38]2. Розрахунки з бюджетом'!D31</f>
        <v>6</v>
      </c>
      <c r="F29" s="130">
        <f>'[39]2. Розрахунки з бюджетом'!D31</f>
        <v>0</v>
      </c>
      <c r="G29" s="130">
        <f>'[44]2. Розрахунки з бюджетом'!I29</f>
        <v>0</v>
      </c>
      <c r="H29" s="152">
        <f>'[41]2. Розрахунки з бюджетом'!D31</f>
        <v>0.6</v>
      </c>
      <c r="I29" s="130">
        <v>0</v>
      </c>
      <c r="J29" s="130">
        <f t="shared" si="2"/>
        <v>0</v>
      </c>
      <c r="K29" s="131"/>
      <c r="L29" s="131"/>
      <c r="M29" s="131"/>
      <c r="N29" s="131"/>
      <c r="O29" s="209"/>
    </row>
    <row r="30" spans="1:15" s="42" customFormat="1" ht="37.5">
      <c r="A30" s="41" t="s">
        <v>98</v>
      </c>
      <c r="B30" s="47">
        <v>2146</v>
      </c>
      <c r="C30" s="130"/>
      <c r="D30" s="130">
        <f>'[37]2. Розрахунки з бюджетом'!D32</f>
        <v>0</v>
      </c>
      <c r="E30" s="130">
        <f>'[45]2. Розрахунки з бюджетом'!D32+'[46]2. Розрахунки з бюджетом'!K30</f>
        <v>0</v>
      </c>
      <c r="F30" s="130">
        <f>'[39]2. Розрахунки з бюджетом'!D32</f>
        <v>0</v>
      </c>
      <c r="G30" s="130">
        <f>'[44]2. Розрахунки з бюджетом'!I30</f>
        <v>0</v>
      </c>
      <c r="H30" s="152">
        <f>'[41]2. Розрахунки з бюджетом'!D32</f>
        <v>0</v>
      </c>
      <c r="I30" s="130">
        <v>0</v>
      </c>
      <c r="J30" s="130">
        <f t="shared" si="2"/>
        <v>0</v>
      </c>
      <c r="K30" s="130"/>
      <c r="L30" s="130"/>
      <c r="M30" s="130"/>
      <c r="N30" s="130"/>
      <c r="O30" s="209"/>
    </row>
    <row r="31" spans="1:15">
      <c r="A31" s="41" t="s">
        <v>73</v>
      </c>
      <c r="B31" s="47">
        <v>2147</v>
      </c>
      <c r="C31" s="130">
        <f t="shared" ref="C31:N31" si="3">SUM(C32:C34)</f>
        <v>31.599999999999998</v>
      </c>
      <c r="D31" s="152">
        <f>SUM(D32:D34)</f>
        <v>42.8</v>
      </c>
      <c r="E31" s="152">
        <f>SUM(E32:E34)</f>
        <v>52</v>
      </c>
      <c r="F31" s="152">
        <f t="shared" ref="F31:G31" si="4">SUM(F32:F34)</f>
        <v>60.5</v>
      </c>
      <c r="G31" s="152">
        <f t="shared" si="4"/>
        <v>56.220999999999997</v>
      </c>
      <c r="H31" s="152">
        <f>SUM(H32:H34)</f>
        <v>68.3</v>
      </c>
      <c r="I31" s="152">
        <v>82.241499999999988</v>
      </c>
      <c r="J31" s="152">
        <f>SUM(J32:J34)</f>
        <v>133.12200000000001</v>
      </c>
      <c r="K31" s="130">
        <f t="shared" si="3"/>
        <v>27.198</v>
      </c>
      <c r="L31" s="130">
        <f t="shared" si="3"/>
        <v>34.522500000000001</v>
      </c>
      <c r="M31" s="130">
        <f t="shared" si="3"/>
        <v>35.569499999999998</v>
      </c>
      <c r="N31" s="130">
        <f t="shared" si="3"/>
        <v>35.832000000000001</v>
      </c>
      <c r="O31" s="209"/>
    </row>
    <row r="32" spans="1:15" s="151" customFormat="1" ht="19.5">
      <c r="A32" s="149" t="s">
        <v>298</v>
      </c>
      <c r="B32" s="150" t="s">
        <v>323</v>
      </c>
      <c r="C32" s="131">
        <v>13.6</v>
      </c>
      <c r="D32" s="131">
        <f>'[37]2. Розрахунки з бюджетом'!D34</f>
        <v>19.100000000000001</v>
      </c>
      <c r="E32" s="131">
        <f>'[38]2. Розрахунки з бюджетом'!D34</f>
        <v>25.6</v>
      </c>
      <c r="F32" s="131">
        <f>'[39]2. Розрахунки з бюджетом'!D34</f>
        <v>32.6</v>
      </c>
      <c r="G32" s="131">
        <f>'[44]2. Розрахунки з бюджетом'!I32</f>
        <v>30.920999999999999</v>
      </c>
      <c r="H32" s="388">
        <f>'[41]2. Розрахунки з бюджетом'!D34</f>
        <v>38.9</v>
      </c>
      <c r="I32" s="131">
        <v>53.041499999999992</v>
      </c>
      <c r="J32" s="131">
        <f t="shared" si="2"/>
        <v>89.921999999999997</v>
      </c>
      <c r="K32" s="131">
        <f>'1.Фінансовий результат'!K117*1.5%</f>
        <v>16.398</v>
      </c>
      <c r="L32" s="131">
        <f>'1.Фінансовий результат'!L117*1.5%</f>
        <v>23.7225</v>
      </c>
      <c r="M32" s="131">
        <f>'1.Фінансовий результат'!M117*1.5%</f>
        <v>24.769499999999997</v>
      </c>
      <c r="N32" s="131">
        <f>'1.Фінансовий результат'!N117*1.5%</f>
        <v>25.032</v>
      </c>
      <c r="O32" s="389"/>
    </row>
    <row r="33" spans="1:16" s="151" customFormat="1" ht="20.100000000000001" customHeight="1">
      <c r="A33" s="149" t="s">
        <v>292</v>
      </c>
      <c r="B33" s="150" t="s">
        <v>324</v>
      </c>
      <c r="C33" s="131">
        <v>9.6999999999999993</v>
      </c>
      <c r="D33" s="131">
        <f>'[37]2. Розрахунки з бюджетом'!D35</f>
        <v>14.299999999999999</v>
      </c>
      <c r="E33" s="131">
        <f>'[38]2. Розрахунки з бюджетом'!D35</f>
        <v>15.499999999999998</v>
      </c>
      <c r="F33" s="131">
        <f>'[39]2. Розрахунки з бюджетом'!D35</f>
        <v>15.2</v>
      </c>
      <c r="G33" s="131">
        <f>'[44]2. Розрахунки з бюджетом'!I33</f>
        <v>14.4</v>
      </c>
      <c r="H33" s="388">
        <f>'[41]2. Розрахунки з бюджетом'!D35</f>
        <v>15.2</v>
      </c>
      <c r="I33" s="131">
        <v>15.2</v>
      </c>
      <c r="J33" s="131">
        <f t="shared" si="2"/>
        <v>15.2</v>
      </c>
      <c r="K33" s="131">
        <f>'1.Фінансовий результат'!K60</f>
        <v>3.8</v>
      </c>
      <c r="L33" s="131">
        <f>'1.Фінансовий результат'!L60</f>
        <v>3.8</v>
      </c>
      <c r="M33" s="131">
        <f>'1.Фінансовий результат'!M60</f>
        <v>3.8</v>
      </c>
      <c r="N33" s="131">
        <f>'1.Фінансовий результат'!N60</f>
        <v>3.8</v>
      </c>
      <c r="O33" s="389"/>
    </row>
    <row r="34" spans="1:16" s="151" customFormat="1" ht="20.100000000000001" customHeight="1">
      <c r="A34" s="149" t="s">
        <v>294</v>
      </c>
      <c r="B34" s="150" t="s">
        <v>325</v>
      </c>
      <c r="C34" s="131">
        <v>8.3000000000000007</v>
      </c>
      <c r="D34" s="131">
        <f>'[37]2. Розрахунки з бюджетом'!D36</f>
        <v>9.4</v>
      </c>
      <c r="E34" s="131">
        <f>'[38]2. Розрахунки з бюджетом'!D36</f>
        <v>10.9</v>
      </c>
      <c r="F34" s="131">
        <f>'[39]2. Розрахунки з бюджетом'!D36</f>
        <v>12.7</v>
      </c>
      <c r="G34" s="131">
        <f>'[44]2. Розрахунки з бюджетом'!I34</f>
        <v>10.9</v>
      </c>
      <c r="H34" s="388">
        <f>'[41]2. Розрахунки з бюджетом'!D36</f>
        <v>14.2</v>
      </c>
      <c r="I34" s="131">
        <v>14</v>
      </c>
      <c r="J34" s="131">
        <f t="shared" si="2"/>
        <v>28</v>
      </c>
      <c r="K34" s="131">
        <f>'1.Фінансовий результат'!K61</f>
        <v>7</v>
      </c>
      <c r="L34" s="131">
        <f>'1.Фінансовий результат'!L61</f>
        <v>7</v>
      </c>
      <c r="M34" s="131">
        <f>'1.Фінансовий результат'!M61</f>
        <v>7</v>
      </c>
      <c r="N34" s="131">
        <f>'1.Фінансовий результат'!N61</f>
        <v>7</v>
      </c>
      <c r="O34" s="389"/>
    </row>
    <row r="35" spans="1:16" s="42" customFormat="1" ht="56.25">
      <c r="A35" s="41" t="s">
        <v>69</v>
      </c>
      <c r="B35" s="47">
        <v>2150</v>
      </c>
      <c r="C35" s="130">
        <v>313.39999999999998</v>
      </c>
      <c r="D35" s="130">
        <f>'[37]2. Розрахунки з бюджетом'!D37</f>
        <v>237.20000000000005</v>
      </c>
      <c r="E35" s="130">
        <f>'[38]2. Розрахунки з бюджетом'!D37</f>
        <v>333.8</v>
      </c>
      <c r="F35" s="130">
        <f>'[39]2. Розрахунки з бюджетом'!D37+7.2</f>
        <v>404.4</v>
      </c>
      <c r="G35" s="130">
        <f>'[44]2. Розрахунки з бюджетом'!I35</f>
        <v>453.3</v>
      </c>
      <c r="H35" s="152">
        <f>'[41]2. Розрахунки з бюджетом'!D37+5</f>
        <v>486.6</v>
      </c>
      <c r="I35" s="130">
        <v>778.2</v>
      </c>
      <c r="J35" s="130">
        <f t="shared" si="2"/>
        <v>1247.6999999999998</v>
      </c>
      <c r="K35" s="130">
        <f>'1.Фінансовий результат'!K118</f>
        <v>235</v>
      </c>
      <c r="L35" s="130">
        <f>'1.Фінансовий результат'!L118</f>
        <v>330.29999999999995</v>
      </c>
      <c r="M35" s="130">
        <f>'1.Фінансовий результат'!M118</f>
        <v>340</v>
      </c>
      <c r="N35" s="130">
        <f>'1.Фінансовий результат'!N118</f>
        <v>342.4</v>
      </c>
      <c r="O35" s="209"/>
    </row>
    <row r="36" spans="1:16" s="110" customFormat="1" ht="37.5">
      <c r="A36" s="108" t="s">
        <v>197</v>
      </c>
      <c r="B36" s="109">
        <v>2200</v>
      </c>
      <c r="C36" s="126">
        <f t="shared" ref="C36:N36" si="5">C18+C19+C22+C35</f>
        <v>481.59999999999997</v>
      </c>
      <c r="D36" s="126">
        <f>'[37]2. Розрахунки з бюджетом'!D38</f>
        <v>513.70000000000005</v>
      </c>
      <c r="E36" s="126">
        <f>E18+E19+E22+E35</f>
        <v>699.5</v>
      </c>
      <c r="F36" s="126">
        <f t="shared" si="5"/>
        <v>855.9</v>
      </c>
      <c r="G36" s="126">
        <f t="shared" si="5"/>
        <v>880.57299999999998</v>
      </c>
      <c r="H36" s="126">
        <f t="shared" si="5"/>
        <v>1022.4</v>
      </c>
      <c r="I36" s="126">
        <v>1496.9395</v>
      </c>
      <c r="J36" s="126">
        <f>J18+J19+J22+J35</f>
        <v>2459.886</v>
      </c>
      <c r="K36" s="126">
        <f t="shared" si="5"/>
        <v>458.97400000000005</v>
      </c>
      <c r="L36" s="126">
        <f t="shared" si="5"/>
        <v>649.49249999999995</v>
      </c>
      <c r="M36" s="126">
        <f t="shared" si="5"/>
        <v>672.80349999999999</v>
      </c>
      <c r="N36" s="126">
        <f t="shared" si="5"/>
        <v>678.61599999999999</v>
      </c>
      <c r="O36" s="209"/>
    </row>
    <row r="37" spans="1:16" s="42" customFormat="1" ht="19.5" customHeight="1">
      <c r="A37" s="62"/>
      <c r="B37" s="43"/>
      <c r="C37" s="60"/>
      <c r="D37" s="60"/>
      <c r="E37" s="60"/>
      <c r="F37" s="60"/>
      <c r="G37" s="60"/>
      <c r="H37" s="387"/>
      <c r="I37" s="60"/>
      <c r="J37" s="60"/>
      <c r="K37" s="61"/>
      <c r="L37" s="61"/>
      <c r="M37" s="61"/>
      <c r="N37" s="61"/>
    </row>
    <row r="38" spans="1:16" s="3" customFormat="1" ht="37.5" customHeight="1">
      <c r="A38" s="423" t="s">
        <v>304</v>
      </c>
      <c r="B38" s="423"/>
      <c r="C38" s="411" t="s">
        <v>88</v>
      </c>
      <c r="D38" s="411"/>
      <c r="E38" s="411"/>
      <c r="F38" s="411"/>
      <c r="G38" s="411"/>
      <c r="H38" s="411"/>
      <c r="I38" s="411"/>
      <c r="J38" s="412"/>
      <c r="K38" s="15"/>
      <c r="L38" s="414" t="s">
        <v>305</v>
      </c>
      <c r="M38" s="414"/>
      <c r="N38" s="414"/>
    </row>
    <row r="39" spans="1:16" s="2" customFormat="1" ht="20.100000000000001" customHeight="1">
      <c r="A39" s="63" t="s">
        <v>205</v>
      </c>
      <c r="B39" s="3"/>
      <c r="C39" s="426" t="s">
        <v>204</v>
      </c>
      <c r="D39" s="426"/>
      <c r="E39" s="426"/>
      <c r="F39" s="426"/>
      <c r="G39" s="426"/>
      <c r="H39" s="426"/>
      <c r="I39" s="426"/>
      <c r="J39" s="426"/>
      <c r="K39" s="27"/>
      <c r="L39" s="418" t="s">
        <v>84</v>
      </c>
      <c r="M39" s="418"/>
      <c r="N39" s="418"/>
    </row>
    <row r="40" spans="1:16" s="43" customFormat="1">
      <c r="A40" s="55"/>
      <c r="H40" s="384"/>
      <c r="J40" s="40"/>
      <c r="K40" s="40"/>
      <c r="L40" s="40"/>
      <c r="M40" s="40"/>
      <c r="N40" s="40"/>
      <c r="O40" s="40"/>
      <c r="P40" s="40"/>
    </row>
    <row r="41" spans="1:16" s="43" customFormat="1">
      <c r="A41" s="55"/>
      <c r="H41" s="384"/>
      <c r="J41" s="40"/>
      <c r="K41" s="40"/>
      <c r="L41" s="40"/>
      <c r="M41" s="40"/>
      <c r="N41" s="40"/>
      <c r="O41" s="40"/>
      <c r="P41" s="40"/>
    </row>
    <row r="42" spans="1:16" s="43" customFormat="1">
      <c r="A42" s="55"/>
      <c r="H42" s="384"/>
      <c r="J42" s="40"/>
      <c r="K42" s="40"/>
      <c r="L42" s="40"/>
      <c r="M42" s="40"/>
      <c r="N42" s="40"/>
      <c r="O42" s="40"/>
      <c r="P42" s="40"/>
    </row>
    <row r="43" spans="1:16" s="43" customFormat="1">
      <c r="A43" s="55"/>
      <c r="H43" s="384"/>
      <c r="J43" s="40"/>
      <c r="K43" s="40"/>
      <c r="L43" s="40"/>
      <c r="M43" s="40"/>
      <c r="N43" s="40"/>
      <c r="O43" s="40"/>
      <c r="P43" s="40"/>
    </row>
    <row r="44" spans="1:16" s="43" customFormat="1">
      <c r="A44" s="55"/>
      <c r="H44" s="384"/>
      <c r="J44" s="40"/>
      <c r="K44" s="40"/>
      <c r="L44" s="40"/>
      <c r="M44" s="40"/>
      <c r="N44" s="40"/>
      <c r="O44" s="40"/>
      <c r="P44" s="40"/>
    </row>
    <row r="45" spans="1:16" s="43" customFormat="1">
      <c r="A45" s="55"/>
      <c r="H45" s="384"/>
      <c r="J45" s="40"/>
      <c r="K45" s="40"/>
      <c r="L45" s="40"/>
      <c r="M45" s="40"/>
      <c r="N45" s="40"/>
      <c r="O45" s="40"/>
      <c r="P45" s="40"/>
    </row>
    <row r="46" spans="1:16" s="43" customFormat="1">
      <c r="A46" s="55"/>
      <c r="H46" s="384"/>
      <c r="J46" s="40"/>
      <c r="K46" s="40"/>
      <c r="L46" s="40"/>
      <c r="M46" s="40"/>
      <c r="N46" s="40"/>
      <c r="O46" s="40"/>
      <c r="P46" s="40"/>
    </row>
    <row r="47" spans="1:16" s="43" customFormat="1">
      <c r="A47" s="55"/>
      <c r="H47" s="384"/>
      <c r="J47" s="40"/>
      <c r="K47" s="40"/>
      <c r="L47" s="40"/>
      <c r="M47" s="40"/>
      <c r="N47" s="40"/>
      <c r="O47" s="40"/>
      <c r="P47" s="40"/>
    </row>
    <row r="48" spans="1:16" s="43" customFormat="1">
      <c r="A48" s="55"/>
      <c r="H48" s="384"/>
      <c r="J48" s="40"/>
      <c r="K48" s="40"/>
      <c r="L48" s="40"/>
      <c r="M48" s="40"/>
      <c r="N48" s="40"/>
      <c r="O48" s="40"/>
      <c r="P48" s="40"/>
    </row>
    <row r="49" spans="1:16" s="43" customFormat="1">
      <c r="A49" s="55"/>
      <c r="H49" s="384"/>
      <c r="J49" s="40"/>
      <c r="K49" s="40"/>
      <c r="L49" s="40"/>
      <c r="M49" s="40"/>
      <c r="N49" s="40"/>
      <c r="O49" s="40"/>
      <c r="P49" s="40"/>
    </row>
    <row r="50" spans="1:16" s="43" customFormat="1">
      <c r="A50" s="55"/>
      <c r="H50" s="384"/>
      <c r="J50" s="40"/>
      <c r="K50" s="40"/>
      <c r="L50" s="40"/>
      <c r="M50" s="40"/>
      <c r="N50" s="40"/>
      <c r="O50" s="40"/>
      <c r="P50" s="40"/>
    </row>
    <row r="51" spans="1:16" s="43" customFormat="1">
      <c r="A51" s="55"/>
      <c r="H51" s="384"/>
      <c r="J51" s="40"/>
      <c r="K51" s="40"/>
      <c r="L51" s="40"/>
      <c r="M51" s="40"/>
      <c r="N51" s="40"/>
      <c r="O51" s="40"/>
      <c r="P51" s="40"/>
    </row>
    <row r="52" spans="1:16" s="43" customFormat="1">
      <c r="A52" s="55"/>
      <c r="H52" s="384"/>
      <c r="J52" s="40"/>
      <c r="K52" s="40"/>
      <c r="L52" s="40"/>
      <c r="M52" s="40"/>
      <c r="N52" s="40"/>
      <c r="O52" s="40"/>
      <c r="P52" s="40"/>
    </row>
    <row r="53" spans="1:16" s="43" customFormat="1">
      <c r="A53" s="55"/>
      <c r="H53" s="384"/>
      <c r="J53" s="40"/>
      <c r="K53" s="40"/>
      <c r="L53" s="40"/>
      <c r="M53" s="40"/>
      <c r="N53" s="40"/>
      <c r="O53" s="40"/>
      <c r="P53" s="40"/>
    </row>
    <row r="54" spans="1:16" s="43" customFormat="1">
      <c r="A54" s="55"/>
      <c r="H54" s="384"/>
      <c r="J54" s="40"/>
      <c r="K54" s="40"/>
      <c r="L54" s="40"/>
      <c r="M54" s="40"/>
      <c r="N54" s="40"/>
      <c r="O54" s="40"/>
      <c r="P54" s="40"/>
    </row>
    <row r="55" spans="1:16" s="43" customFormat="1">
      <c r="A55" s="55"/>
      <c r="H55" s="384"/>
      <c r="J55" s="40"/>
      <c r="K55" s="40"/>
      <c r="L55" s="40"/>
      <c r="M55" s="40"/>
      <c r="N55" s="40"/>
      <c r="O55" s="40"/>
      <c r="P55" s="40"/>
    </row>
    <row r="56" spans="1:16" s="43" customFormat="1">
      <c r="A56" s="55"/>
      <c r="H56" s="384"/>
      <c r="J56" s="40"/>
      <c r="K56" s="40"/>
      <c r="L56" s="40"/>
      <c r="M56" s="40"/>
      <c r="N56" s="40"/>
      <c r="O56" s="40"/>
      <c r="P56" s="40"/>
    </row>
    <row r="57" spans="1:16" s="43" customFormat="1">
      <c r="A57" s="55"/>
      <c r="H57" s="384"/>
      <c r="J57" s="40"/>
      <c r="K57" s="40"/>
      <c r="L57" s="40"/>
      <c r="M57" s="40"/>
      <c r="N57" s="40"/>
      <c r="O57" s="40"/>
      <c r="P57" s="40"/>
    </row>
    <row r="58" spans="1:16" s="43" customFormat="1">
      <c r="A58" s="55"/>
      <c r="H58" s="384"/>
      <c r="J58" s="40"/>
      <c r="K58" s="40"/>
      <c r="L58" s="40"/>
      <c r="M58" s="40"/>
      <c r="N58" s="40"/>
      <c r="O58" s="40"/>
      <c r="P58" s="40"/>
    </row>
    <row r="59" spans="1:16" s="43" customFormat="1">
      <c r="A59" s="55"/>
      <c r="H59" s="384"/>
      <c r="J59" s="40"/>
      <c r="K59" s="40"/>
      <c r="L59" s="40"/>
      <c r="M59" s="40"/>
      <c r="N59" s="40"/>
      <c r="O59" s="40"/>
      <c r="P59" s="40"/>
    </row>
    <row r="60" spans="1:16" s="43" customFormat="1">
      <c r="A60" s="55"/>
      <c r="H60" s="384"/>
      <c r="J60" s="40"/>
      <c r="K60" s="40"/>
      <c r="L60" s="40"/>
      <c r="M60" s="40"/>
      <c r="N60" s="40"/>
      <c r="O60" s="40"/>
      <c r="P60" s="40"/>
    </row>
    <row r="61" spans="1:16" s="43" customFormat="1">
      <c r="A61" s="55"/>
      <c r="H61" s="384"/>
      <c r="J61" s="40"/>
      <c r="K61" s="40"/>
      <c r="L61" s="40"/>
      <c r="M61" s="40"/>
      <c r="N61" s="40"/>
      <c r="O61" s="40"/>
      <c r="P61" s="40"/>
    </row>
    <row r="62" spans="1:16" s="43" customFormat="1">
      <c r="A62" s="55"/>
      <c r="H62" s="384"/>
      <c r="J62" s="40"/>
      <c r="K62" s="40"/>
      <c r="L62" s="40"/>
      <c r="M62" s="40"/>
      <c r="N62" s="40"/>
      <c r="O62" s="40"/>
      <c r="P62" s="40"/>
    </row>
    <row r="63" spans="1:16" s="43" customFormat="1">
      <c r="A63" s="55"/>
      <c r="H63" s="384"/>
      <c r="J63" s="40"/>
      <c r="K63" s="40"/>
      <c r="L63" s="40"/>
      <c r="M63" s="40"/>
      <c r="N63" s="40"/>
      <c r="O63" s="40"/>
      <c r="P63" s="40"/>
    </row>
    <row r="64" spans="1:16" s="43" customFormat="1">
      <c r="A64" s="55"/>
      <c r="H64" s="384"/>
      <c r="J64" s="40"/>
      <c r="K64" s="40"/>
      <c r="L64" s="40"/>
      <c r="M64" s="40"/>
      <c r="N64" s="40"/>
      <c r="O64" s="40"/>
      <c r="P64" s="40"/>
    </row>
    <row r="65" spans="1:16" s="43" customFormat="1">
      <c r="A65" s="55"/>
      <c r="H65" s="384"/>
      <c r="J65" s="40"/>
      <c r="K65" s="40"/>
      <c r="L65" s="40"/>
      <c r="M65" s="40"/>
      <c r="N65" s="40"/>
      <c r="O65" s="40"/>
      <c r="P65" s="40"/>
    </row>
    <row r="66" spans="1:16" s="43" customFormat="1">
      <c r="A66" s="55"/>
      <c r="H66" s="384"/>
      <c r="J66" s="40"/>
      <c r="K66" s="40"/>
      <c r="L66" s="40"/>
      <c r="M66" s="40"/>
      <c r="N66" s="40"/>
      <c r="O66" s="40"/>
      <c r="P66" s="40"/>
    </row>
    <row r="67" spans="1:16" s="43" customFormat="1">
      <c r="A67" s="55"/>
      <c r="H67" s="384"/>
      <c r="J67" s="40"/>
      <c r="K67" s="40"/>
      <c r="L67" s="40"/>
      <c r="M67" s="40"/>
      <c r="N67" s="40"/>
      <c r="O67" s="40"/>
      <c r="P67" s="40"/>
    </row>
    <row r="68" spans="1:16" s="43" customFormat="1">
      <c r="A68" s="55"/>
      <c r="H68" s="384"/>
      <c r="J68" s="40"/>
      <c r="K68" s="40"/>
      <c r="L68" s="40"/>
      <c r="M68" s="40"/>
      <c r="N68" s="40"/>
      <c r="O68" s="40"/>
      <c r="P68" s="40"/>
    </row>
    <row r="69" spans="1:16" s="43" customFormat="1">
      <c r="A69" s="55"/>
      <c r="H69" s="384"/>
      <c r="J69" s="40"/>
      <c r="K69" s="40"/>
      <c r="L69" s="40"/>
      <c r="M69" s="40"/>
      <c r="N69" s="40"/>
      <c r="O69" s="40"/>
      <c r="P69" s="40"/>
    </row>
    <row r="70" spans="1:16" s="43" customFormat="1">
      <c r="A70" s="55"/>
      <c r="H70" s="384"/>
      <c r="J70" s="40"/>
      <c r="K70" s="40"/>
      <c r="L70" s="40"/>
      <c r="M70" s="40"/>
      <c r="N70" s="40"/>
      <c r="O70" s="40"/>
      <c r="P70" s="40"/>
    </row>
    <row r="71" spans="1:16" s="43" customFormat="1">
      <c r="A71" s="55"/>
      <c r="H71" s="384"/>
      <c r="J71" s="40"/>
      <c r="K71" s="40"/>
      <c r="L71" s="40"/>
      <c r="M71" s="40"/>
      <c r="N71" s="40"/>
      <c r="O71" s="40"/>
      <c r="P71" s="40"/>
    </row>
    <row r="72" spans="1:16" s="43" customFormat="1">
      <c r="A72" s="55"/>
      <c r="H72" s="384"/>
      <c r="J72" s="40"/>
      <c r="K72" s="40"/>
      <c r="L72" s="40"/>
      <c r="M72" s="40"/>
      <c r="N72" s="40"/>
      <c r="O72" s="40"/>
      <c r="P72" s="40"/>
    </row>
    <row r="73" spans="1:16" s="43" customFormat="1">
      <c r="A73" s="55"/>
      <c r="H73" s="384"/>
      <c r="J73" s="40"/>
      <c r="K73" s="40"/>
      <c r="L73" s="40"/>
      <c r="M73" s="40"/>
      <c r="N73" s="40"/>
      <c r="O73" s="40"/>
      <c r="P73" s="40"/>
    </row>
    <row r="74" spans="1:16" s="43" customFormat="1">
      <c r="A74" s="55"/>
      <c r="H74" s="384"/>
      <c r="J74" s="40"/>
      <c r="K74" s="40"/>
      <c r="L74" s="40"/>
      <c r="M74" s="40"/>
      <c r="N74" s="40"/>
      <c r="O74" s="40"/>
      <c r="P74" s="40"/>
    </row>
    <row r="75" spans="1:16" s="43" customFormat="1">
      <c r="A75" s="55"/>
      <c r="H75" s="384"/>
      <c r="J75" s="40"/>
      <c r="K75" s="40"/>
      <c r="L75" s="40"/>
      <c r="M75" s="40"/>
      <c r="N75" s="40"/>
      <c r="O75" s="40"/>
      <c r="P75" s="40"/>
    </row>
    <row r="76" spans="1:16" s="43" customFormat="1">
      <c r="A76" s="55"/>
      <c r="H76" s="384"/>
      <c r="J76" s="40"/>
      <c r="K76" s="40"/>
      <c r="L76" s="40"/>
      <c r="M76" s="40"/>
      <c r="N76" s="40"/>
      <c r="O76" s="40"/>
      <c r="P76" s="40"/>
    </row>
    <row r="77" spans="1:16" s="43" customFormat="1">
      <c r="A77" s="55"/>
      <c r="H77" s="384"/>
      <c r="J77" s="40"/>
      <c r="K77" s="40"/>
      <c r="L77" s="40"/>
      <c r="M77" s="40"/>
      <c r="N77" s="40"/>
      <c r="O77" s="40"/>
      <c r="P77" s="40"/>
    </row>
    <row r="78" spans="1:16" s="43" customFormat="1">
      <c r="A78" s="55"/>
      <c r="H78" s="384"/>
      <c r="J78" s="40"/>
      <c r="K78" s="40"/>
      <c r="L78" s="40"/>
      <c r="M78" s="40"/>
      <c r="N78" s="40"/>
      <c r="O78" s="40"/>
      <c r="P78" s="40"/>
    </row>
    <row r="79" spans="1:16" s="43" customFormat="1">
      <c r="A79" s="55"/>
      <c r="H79" s="384"/>
      <c r="J79" s="40"/>
      <c r="K79" s="40"/>
      <c r="L79" s="40"/>
      <c r="M79" s="40"/>
      <c r="N79" s="40"/>
      <c r="O79" s="40"/>
      <c r="P79" s="40"/>
    </row>
    <row r="80" spans="1:16" s="43" customFormat="1">
      <c r="A80" s="55"/>
      <c r="H80" s="384"/>
      <c r="J80" s="40"/>
      <c r="K80" s="40"/>
      <c r="L80" s="40"/>
      <c r="M80" s="40"/>
      <c r="N80" s="40"/>
      <c r="O80" s="40"/>
      <c r="P80" s="40"/>
    </row>
    <row r="81" spans="1:16" s="43" customFormat="1">
      <c r="A81" s="55"/>
      <c r="H81" s="384"/>
      <c r="J81" s="40"/>
      <c r="K81" s="40"/>
      <c r="L81" s="40"/>
      <c r="M81" s="40"/>
      <c r="N81" s="40"/>
      <c r="O81" s="40"/>
      <c r="P81" s="40"/>
    </row>
    <row r="82" spans="1:16" s="43" customFormat="1">
      <c r="A82" s="55"/>
      <c r="H82" s="384"/>
      <c r="J82" s="40"/>
      <c r="K82" s="40"/>
      <c r="L82" s="40"/>
      <c r="M82" s="40"/>
      <c r="N82" s="40"/>
      <c r="O82" s="40"/>
      <c r="P82" s="40"/>
    </row>
    <row r="83" spans="1:16" s="43" customFormat="1">
      <c r="A83" s="55"/>
      <c r="H83" s="384"/>
      <c r="J83" s="40"/>
      <c r="K83" s="40"/>
      <c r="L83" s="40"/>
      <c r="M83" s="40"/>
      <c r="N83" s="40"/>
      <c r="O83" s="40"/>
      <c r="P83" s="40"/>
    </row>
    <row r="84" spans="1:16" s="43" customFormat="1">
      <c r="A84" s="55"/>
      <c r="H84" s="384"/>
      <c r="J84" s="40"/>
      <c r="K84" s="40"/>
      <c r="L84" s="40"/>
      <c r="M84" s="40"/>
      <c r="N84" s="40"/>
      <c r="O84" s="40"/>
      <c r="P84" s="40"/>
    </row>
    <row r="85" spans="1:16" s="43" customFormat="1">
      <c r="A85" s="55"/>
      <c r="H85" s="384"/>
      <c r="J85" s="40"/>
      <c r="K85" s="40"/>
      <c r="L85" s="40"/>
      <c r="M85" s="40"/>
      <c r="N85" s="40"/>
      <c r="O85" s="40"/>
      <c r="P85" s="40"/>
    </row>
    <row r="86" spans="1:16" s="43" customFormat="1">
      <c r="A86" s="55"/>
      <c r="H86" s="384"/>
      <c r="J86" s="40"/>
      <c r="K86" s="40"/>
      <c r="L86" s="40"/>
      <c r="M86" s="40"/>
      <c r="N86" s="40"/>
      <c r="O86" s="40"/>
      <c r="P86" s="40"/>
    </row>
    <row r="87" spans="1:16" s="43" customFormat="1">
      <c r="A87" s="55"/>
      <c r="H87" s="384"/>
      <c r="J87" s="40"/>
      <c r="K87" s="40"/>
      <c r="L87" s="40"/>
      <c r="M87" s="40"/>
      <c r="N87" s="40"/>
      <c r="O87" s="40"/>
      <c r="P87" s="40"/>
    </row>
    <row r="88" spans="1:16" s="43" customFormat="1">
      <c r="A88" s="55"/>
      <c r="H88" s="384"/>
      <c r="J88" s="40"/>
      <c r="K88" s="40"/>
      <c r="L88" s="40"/>
      <c r="M88" s="40"/>
      <c r="N88" s="40"/>
      <c r="O88" s="40"/>
      <c r="P88" s="40"/>
    </row>
    <row r="89" spans="1:16" s="43" customFormat="1">
      <c r="A89" s="55"/>
      <c r="H89" s="384"/>
      <c r="J89" s="40"/>
      <c r="K89" s="40"/>
      <c r="L89" s="40"/>
      <c r="M89" s="40"/>
      <c r="N89" s="40"/>
      <c r="O89" s="40"/>
      <c r="P89" s="40"/>
    </row>
    <row r="90" spans="1:16" s="43" customFormat="1">
      <c r="A90" s="55"/>
      <c r="H90" s="384"/>
      <c r="J90" s="40"/>
      <c r="K90" s="40"/>
      <c r="L90" s="40"/>
      <c r="M90" s="40"/>
      <c r="N90" s="40"/>
      <c r="O90" s="40"/>
      <c r="P90" s="40"/>
    </row>
    <row r="91" spans="1:16" s="43" customFormat="1">
      <c r="A91" s="55"/>
      <c r="H91" s="384"/>
      <c r="J91" s="40"/>
      <c r="K91" s="40"/>
      <c r="L91" s="40"/>
      <c r="M91" s="40"/>
      <c r="N91" s="40"/>
      <c r="O91" s="40"/>
      <c r="P91" s="40"/>
    </row>
    <row r="92" spans="1:16" s="43" customFormat="1">
      <c r="A92" s="55"/>
      <c r="H92" s="384"/>
      <c r="J92" s="40"/>
      <c r="K92" s="40"/>
      <c r="L92" s="40"/>
      <c r="M92" s="40"/>
      <c r="N92" s="40"/>
      <c r="O92" s="40"/>
      <c r="P92" s="40"/>
    </row>
    <row r="93" spans="1:16" s="43" customFormat="1">
      <c r="A93" s="55"/>
      <c r="H93" s="384"/>
      <c r="J93" s="40"/>
      <c r="K93" s="40"/>
      <c r="L93" s="40"/>
      <c r="M93" s="40"/>
      <c r="N93" s="40"/>
      <c r="O93" s="40"/>
      <c r="P93" s="40"/>
    </row>
    <row r="94" spans="1:16" s="43" customFormat="1">
      <c r="A94" s="55"/>
      <c r="H94" s="384"/>
      <c r="J94" s="40"/>
      <c r="K94" s="40"/>
      <c r="L94" s="40"/>
      <c r="M94" s="40"/>
      <c r="N94" s="40"/>
      <c r="O94" s="40"/>
      <c r="P94" s="40"/>
    </row>
    <row r="95" spans="1:16" s="43" customFormat="1">
      <c r="A95" s="55"/>
      <c r="H95" s="384"/>
      <c r="J95" s="40"/>
      <c r="K95" s="40"/>
      <c r="L95" s="40"/>
      <c r="M95" s="40"/>
      <c r="N95" s="40"/>
      <c r="O95" s="40"/>
      <c r="P95" s="40"/>
    </row>
    <row r="96" spans="1:16" s="43" customFormat="1">
      <c r="A96" s="55"/>
      <c r="H96" s="384"/>
      <c r="J96" s="40"/>
      <c r="K96" s="40"/>
      <c r="L96" s="40"/>
      <c r="M96" s="40"/>
      <c r="N96" s="40"/>
      <c r="O96" s="40"/>
      <c r="P96" s="40"/>
    </row>
    <row r="97" spans="1:16" s="43" customFormat="1">
      <c r="A97" s="55"/>
      <c r="H97" s="384"/>
      <c r="J97" s="40"/>
      <c r="K97" s="40"/>
      <c r="L97" s="40"/>
      <c r="M97" s="40"/>
      <c r="N97" s="40"/>
      <c r="O97" s="40"/>
      <c r="P97" s="40"/>
    </row>
    <row r="98" spans="1:16" s="43" customFormat="1">
      <c r="A98" s="55"/>
      <c r="H98" s="384"/>
      <c r="J98" s="40"/>
      <c r="K98" s="40"/>
      <c r="L98" s="40"/>
      <c r="M98" s="40"/>
      <c r="N98" s="40"/>
      <c r="O98" s="40"/>
      <c r="P98" s="40"/>
    </row>
    <row r="99" spans="1:16" s="43" customFormat="1">
      <c r="A99" s="55"/>
      <c r="H99" s="384"/>
      <c r="J99" s="40"/>
      <c r="K99" s="40"/>
      <c r="L99" s="40"/>
      <c r="M99" s="40"/>
      <c r="N99" s="40"/>
      <c r="O99" s="40"/>
      <c r="P99" s="40"/>
    </row>
    <row r="100" spans="1:16" s="43" customFormat="1">
      <c r="A100" s="55"/>
      <c r="H100" s="384"/>
      <c r="J100" s="40"/>
      <c r="K100" s="40"/>
      <c r="L100" s="40"/>
      <c r="M100" s="40"/>
      <c r="N100" s="40"/>
      <c r="O100" s="40"/>
      <c r="P100" s="40"/>
    </row>
    <row r="101" spans="1:16" s="43" customFormat="1">
      <c r="A101" s="55"/>
      <c r="H101" s="384"/>
      <c r="J101" s="40"/>
      <c r="K101" s="40"/>
      <c r="L101" s="40"/>
      <c r="M101" s="40"/>
      <c r="N101" s="40"/>
      <c r="O101" s="40"/>
      <c r="P101" s="40"/>
    </row>
    <row r="102" spans="1:16" s="43" customFormat="1">
      <c r="A102" s="55"/>
      <c r="H102" s="384"/>
      <c r="J102" s="40"/>
      <c r="K102" s="40"/>
      <c r="L102" s="40"/>
      <c r="M102" s="40"/>
      <c r="N102" s="40"/>
      <c r="O102" s="40"/>
      <c r="P102" s="40"/>
    </row>
    <row r="103" spans="1:16" s="43" customFormat="1">
      <c r="A103" s="55"/>
      <c r="H103" s="384"/>
      <c r="J103" s="40"/>
      <c r="K103" s="40"/>
      <c r="L103" s="40"/>
      <c r="M103" s="40"/>
      <c r="N103" s="40"/>
      <c r="O103" s="40"/>
      <c r="P103" s="40"/>
    </row>
    <row r="104" spans="1:16" s="43" customFormat="1">
      <c r="A104" s="55"/>
      <c r="H104" s="384"/>
      <c r="J104" s="40"/>
      <c r="K104" s="40"/>
      <c r="L104" s="40"/>
      <c r="M104" s="40"/>
      <c r="N104" s="40"/>
      <c r="O104" s="40"/>
      <c r="P104" s="40"/>
    </row>
    <row r="105" spans="1:16" s="43" customFormat="1">
      <c r="A105" s="55"/>
      <c r="H105" s="384"/>
      <c r="J105" s="40"/>
      <c r="K105" s="40"/>
      <c r="L105" s="40"/>
      <c r="M105" s="40"/>
      <c r="N105" s="40"/>
      <c r="O105" s="40"/>
      <c r="P105" s="40"/>
    </row>
    <row r="106" spans="1:16" s="43" customFormat="1">
      <c r="A106" s="55"/>
      <c r="H106" s="384"/>
      <c r="J106" s="40"/>
      <c r="K106" s="40"/>
      <c r="L106" s="40"/>
      <c r="M106" s="40"/>
      <c r="N106" s="40"/>
      <c r="O106" s="40"/>
      <c r="P106" s="40"/>
    </row>
    <row r="107" spans="1:16" s="43" customFormat="1">
      <c r="A107" s="55"/>
      <c r="H107" s="384"/>
      <c r="J107" s="40"/>
      <c r="K107" s="40"/>
      <c r="L107" s="40"/>
      <c r="M107" s="40"/>
      <c r="N107" s="40"/>
      <c r="O107" s="40"/>
      <c r="P107" s="40"/>
    </row>
    <row r="108" spans="1:16" s="43" customFormat="1">
      <c r="A108" s="55"/>
      <c r="H108" s="384"/>
      <c r="J108" s="40"/>
      <c r="K108" s="40"/>
      <c r="L108" s="40"/>
      <c r="M108" s="40"/>
      <c r="N108" s="40"/>
      <c r="O108" s="40"/>
      <c r="P108" s="40"/>
    </row>
    <row r="109" spans="1:16" s="43" customFormat="1">
      <c r="A109" s="55"/>
      <c r="H109" s="384"/>
      <c r="J109" s="40"/>
      <c r="K109" s="40"/>
      <c r="L109" s="40"/>
      <c r="M109" s="40"/>
      <c r="N109" s="40"/>
      <c r="O109" s="40"/>
      <c r="P109" s="40"/>
    </row>
    <row r="110" spans="1:16" s="43" customFormat="1">
      <c r="A110" s="55"/>
      <c r="H110" s="384"/>
      <c r="J110" s="40"/>
      <c r="K110" s="40"/>
      <c r="L110" s="40"/>
      <c r="M110" s="40"/>
      <c r="N110" s="40"/>
      <c r="O110" s="40"/>
      <c r="P110" s="40"/>
    </row>
    <row r="111" spans="1:16" s="43" customFormat="1">
      <c r="A111" s="55"/>
      <c r="H111" s="384"/>
      <c r="J111" s="40"/>
      <c r="K111" s="40"/>
      <c r="L111" s="40"/>
      <c r="M111" s="40"/>
      <c r="N111" s="40"/>
      <c r="O111" s="40"/>
      <c r="P111" s="40"/>
    </row>
    <row r="112" spans="1:16" s="43" customFormat="1">
      <c r="A112" s="55"/>
      <c r="H112" s="384"/>
      <c r="J112" s="40"/>
      <c r="K112" s="40"/>
      <c r="L112" s="40"/>
      <c r="M112" s="40"/>
      <c r="N112" s="40"/>
      <c r="O112" s="40"/>
      <c r="P112" s="40"/>
    </row>
    <row r="113" spans="1:16" s="43" customFormat="1">
      <c r="A113" s="55"/>
      <c r="H113" s="384"/>
      <c r="J113" s="40"/>
      <c r="K113" s="40"/>
      <c r="L113" s="40"/>
      <c r="M113" s="40"/>
      <c r="N113" s="40"/>
      <c r="O113" s="40"/>
      <c r="P113" s="40"/>
    </row>
    <row r="114" spans="1:16" s="43" customFormat="1">
      <c r="A114" s="55"/>
      <c r="H114" s="384"/>
      <c r="J114" s="40"/>
      <c r="K114" s="40"/>
      <c r="L114" s="40"/>
      <c r="M114" s="40"/>
      <c r="N114" s="40"/>
      <c r="O114" s="40"/>
      <c r="P114" s="40"/>
    </row>
    <row r="115" spans="1:16" s="43" customFormat="1">
      <c r="A115" s="55"/>
      <c r="H115" s="384"/>
      <c r="J115" s="40"/>
      <c r="K115" s="40"/>
      <c r="L115" s="40"/>
      <c r="M115" s="40"/>
      <c r="N115" s="40"/>
      <c r="O115" s="40"/>
      <c r="P115" s="40"/>
    </row>
    <row r="116" spans="1:16" s="43" customFormat="1">
      <c r="A116" s="55"/>
      <c r="H116" s="384"/>
      <c r="J116" s="40"/>
      <c r="K116" s="40"/>
      <c r="L116" s="40"/>
      <c r="M116" s="40"/>
      <c r="N116" s="40"/>
      <c r="O116" s="40"/>
      <c r="P116" s="40"/>
    </row>
    <row r="117" spans="1:16" s="43" customFormat="1">
      <c r="A117" s="55"/>
      <c r="H117" s="384"/>
      <c r="J117" s="40"/>
      <c r="K117" s="40"/>
      <c r="L117" s="40"/>
      <c r="M117" s="40"/>
      <c r="N117" s="40"/>
      <c r="O117" s="40"/>
      <c r="P117" s="40"/>
    </row>
    <row r="118" spans="1:16" s="43" customFormat="1">
      <c r="A118" s="55"/>
      <c r="H118" s="384"/>
      <c r="J118" s="40"/>
      <c r="K118" s="40"/>
      <c r="L118" s="40"/>
      <c r="M118" s="40"/>
      <c r="N118" s="40"/>
      <c r="O118" s="40"/>
      <c r="P118" s="40"/>
    </row>
    <row r="119" spans="1:16" s="43" customFormat="1">
      <c r="A119" s="55"/>
      <c r="H119" s="384"/>
      <c r="J119" s="40"/>
      <c r="K119" s="40"/>
      <c r="L119" s="40"/>
      <c r="M119" s="40"/>
      <c r="N119" s="40"/>
      <c r="O119" s="40"/>
      <c r="P119" s="40"/>
    </row>
    <row r="120" spans="1:16" s="43" customFormat="1">
      <c r="A120" s="55"/>
      <c r="H120" s="384"/>
      <c r="J120" s="40"/>
      <c r="K120" s="40"/>
      <c r="L120" s="40"/>
      <c r="M120" s="40"/>
      <c r="N120" s="40"/>
      <c r="O120" s="40"/>
      <c r="P120" s="40"/>
    </row>
    <row r="121" spans="1:16" s="43" customFormat="1">
      <c r="A121" s="55"/>
      <c r="H121" s="384"/>
      <c r="J121" s="40"/>
      <c r="K121" s="40"/>
      <c r="L121" s="40"/>
      <c r="M121" s="40"/>
      <c r="N121" s="40"/>
      <c r="O121" s="40"/>
      <c r="P121" s="40"/>
    </row>
    <row r="122" spans="1:16" s="43" customFormat="1">
      <c r="A122" s="55"/>
      <c r="H122" s="384"/>
      <c r="J122" s="40"/>
      <c r="K122" s="40"/>
      <c r="L122" s="40"/>
      <c r="M122" s="40"/>
      <c r="N122" s="40"/>
      <c r="O122" s="40"/>
      <c r="P122" s="40"/>
    </row>
    <row r="123" spans="1:16" s="43" customFormat="1">
      <c r="A123" s="55"/>
      <c r="H123" s="384"/>
      <c r="J123" s="40"/>
      <c r="K123" s="40"/>
      <c r="L123" s="40"/>
      <c r="M123" s="40"/>
      <c r="N123" s="40"/>
      <c r="O123" s="40"/>
      <c r="P123" s="40"/>
    </row>
    <row r="124" spans="1:16" s="43" customFormat="1">
      <c r="A124" s="55"/>
      <c r="H124" s="384"/>
      <c r="J124" s="40"/>
      <c r="K124" s="40"/>
      <c r="L124" s="40"/>
      <c r="M124" s="40"/>
      <c r="N124" s="40"/>
      <c r="O124" s="40"/>
      <c r="P124" s="40"/>
    </row>
    <row r="125" spans="1:16" s="43" customFormat="1">
      <c r="A125" s="55"/>
      <c r="H125" s="384"/>
      <c r="J125" s="40"/>
      <c r="K125" s="40"/>
      <c r="L125" s="40"/>
      <c r="M125" s="40"/>
      <c r="N125" s="40"/>
      <c r="O125" s="40"/>
      <c r="P125" s="40"/>
    </row>
    <row r="126" spans="1:16" s="43" customFormat="1">
      <c r="A126" s="55"/>
      <c r="H126" s="384"/>
      <c r="J126" s="40"/>
      <c r="K126" s="40"/>
      <c r="L126" s="40"/>
      <c r="M126" s="40"/>
      <c r="N126" s="40"/>
      <c r="O126" s="40"/>
      <c r="P126" s="40"/>
    </row>
    <row r="127" spans="1:16" s="43" customFormat="1">
      <c r="A127" s="55"/>
      <c r="H127" s="384"/>
      <c r="J127" s="40"/>
      <c r="K127" s="40"/>
      <c r="L127" s="40"/>
      <c r="M127" s="40"/>
      <c r="N127" s="40"/>
      <c r="O127" s="40"/>
      <c r="P127" s="40"/>
    </row>
    <row r="128" spans="1:16" s="43" customFormat="1">
      <c r="A128" s="55"/>
      <c r="H128" s="384"/>
      <c r="J128" s="40"/>
      <c r="K128" s="40"/>
      <c r="L128" s="40"/>
      <c r="M128" s="40"/>
      <c r="N128" s="40"/>
      <c r="O128" s="40"/>
      <c r="P128" s="40"/>
    </row>
    <row r="129" spans="1:16" s="43" customFormat="1">
      <c r="A129" s="55"/>
      <c r="H129" s="384"/>
      <c r="J129" s="40"/>
      <c r="K129" s="40"/>
      <c r="L129" s="40"/>
      <c r="M129" s="40"/>
      <c r="N129" s="40"/>
      <c r="O129" s="40"/>
      <c r="P129" s="40"/>
    </row>
    <row r="130" spans="1:16" s="43" customFormat="1">
      <c r="A130" s="55"/>
      <c r="H130" s="384"/>
      <c r="J130" s="40"/>
      <c r="K130" s="40"/>
      <c r="L130" s="40"/>
      <c r="M130" s="40"/>
      <c r="N130" s="40"/>
      <c r="O130" s="40"/>
      <c r="P130" s="40"/>
    </row>
    <row r="131" spans="1:16" s="43" customFormat="1">
      <c r="A131" s="55"/>
      <c r="H131" s="384"/>
      <c r="J131" s="40"/>
      <c r="K131" s="40"/>
      <c r="L131" s="40"/>
      <c r="M131" s="40"/>
      <c r="N131" s="40"/>
      <c r="O131" s="40"/>
      <c r="P131" s="40"/>
    </row>
    <row r="132" spans="1:16" s="43" customFormat="1">
      <c r="A132" s="55"/>
      <c r="H132" s="384"/>
      <c r="J132" s="40"/>
      <c r="K132" s="40"/>
      <c r="L132" s="40"/>
      <c r="M132" s="40"/>
      <c r="N132" s="40"/>
      <c r="O132" s="40"/>
      <c r="P132" s="40"/>
    </row>
    <row r="133" spans="1:16" s="43" customFormat="1">
      <c r="A133" s="55"/>
      <c r="H133" s="384"/>
      <c r="J133" s="40"/>
      <c r="K133" s="40"/>
      <c r="L133" s="40"/>
      <c r="M133" s="40"/>
      <c r="N133" s="40"/>
      <c r="O133" s="40"/>
      <c r="P133" s="40"/>
    </row>
    <row r="134" spans="1:16" s="43" customFormat="1">
      <c r="A134" s="55"/>
      <c r="H134" s="384"/>
      <c r="J134" s="40"/>
      <c r="K134" s="40"/>
      <c r="L134" s="40"/>
      <c r="M134" s="40"/>
      <c r="N134" s="40"/>
      <c r="O134" s="40"/>
      <c r="P134" s="40"/>
    </row>
    <row r="135" spans="1:16" s="43" customFormat="1">
      <c r="A135" s="55"/>
      <c r="H135" s="384"/>
      <c r="J135" s="40"/>
      <c r="K135" s="40"/>
      <c r="L135" s="40"/>
      <c r="M135" s="40"/>
      <c r="N135" s="40"/>
      <c r="O135" s="40"/>
      <c r="P135" s="40"/>
    </row>
    <row r="136" spans="1:16" s="43" customFormat="1">
      <c r="A136" s="55"/>
      <c r="H136" s="384"/>
      <c r="J136" s="40"/>
      <c r="K136" s="40"/>
      <c r="L136" s="40"/>
      <c r="M136" s="40"/>
      <c r="N136" s="40"/>
      <c r="O136" s="40"/>
      <c r="P136" s="40"/>
    </row>
    <row r="137" spans="1:16" s="43" customFormat="1">
      <c r="A137" s="55"/>
      <c r="H137" s="384"/>
      <c r="J137" s="40"/>
      <c r="K137" s="40"/>
      <c r="L137" s="40"/>
      <c r="M137" s="40"/>
      <c r="N137" s="40"/>
      <c r="O137" s="40"/>
      <c r="P137" s="40"/>
    </row>
    <row r="138" spans="1:16" s="43" customFormat="1">
      <c r="A138" s="55"/>
      <c r="H138" s="384"/>
      <c r="J138" s="40"/>
      <c r="K138" s="40"/>
      <c r="L138" s="40"/>
      <c r="M138" s="40"/>
      <c r="N138" s="40"/>
      <c r="O138" s="40"/>
      <c r="P138" s="40"/>
    </row>
    <row r="139" spans="1:16" s="43" customFormat="1">
      <c r="A139" s="55"/>
      <c r="H139" s="384"/>
      <c r="J139" s="40"/>
      <c r="K139" s="40"/>
      <c r="L139" s="40"/>
      <c r="M139" s="40"/>
      <c r="N139" s="40"/>
      <c r="O139" s="40"/>
      <c r="P139" s="40"/>
    </row>
    <row r="140" spans="1:16" s="43" customFormat="1">
      <c r="A140" s="55"/>
      <c r="H140" s="384"/>
      <c r="J140" s="40"/>
      <c r="K140" s="40"/>
      <c r="L140" s="40"/>
      <c r="M140" s="40"/>
      <c r="N140" s="40"/>
      <c r="O140" s="40"/>
      <c r="P140" s="40"/>
    </row>
    <row r="141" spans="1:16" s="43" customFormat="1">
      <c r="A141" s="55"/>
      <c r="H141" s="384"/>
      <c r="J141" s="40"/>
      <c r="K141" s="40"/>
      <c r="L141" s="40"/>
      <c r="M141" s="40"/>
      <c r="N141" s="40"/>
      <c r="O141" s="40"/>
      <c r="P141" s="40"/>
    </row>
    <row r="142" spans="1:16" s="43" customFormat="1">
      <c r="A142" s="55"/>
      <c r="H142" s="384"/>
      <c r="J142" s="40"/>
      <c r="K142" s="40"/>
      <c r="L142" s="40"/>
      <c r="M142" s="40"/>
      <c r="N142" s="40"/>
      <c r="O142" s="40"/>
      <c r="P142" s="40"/>
    </row>
    <row r="143" spans="1:16" s="43" customFormat="1">
      <c r="A143" s="55"/>
      <c r="H143" s="384"/>
      <c r="J143" s="40"/>
      <c r="K143" s="40"/>
      <c r="L143" s="40"/>
      <c r="M143" s="40"/>
      <c r="N143" s="40"/>
      <c r="O143" s="40"/>
      <c r="P143" s="40"/>
    </row>
    <row r="144" spans="1:16" s="43" customFormat="1">
      <c r="A144" s="55"/>
      <c r="H144" s="384"/>
      <c r="J144" s="40"/>
      <c r="K144" s="40"/>
      <c r="L144" s="40"/>
      <c r="M144" s="40"/>
      <c r="N144" s="40"/>
      <c r="O144" s="40"/>
      <c r="P144" s="40"/>
    </row>
    <row r="145" spans="1:16" s="43" customFormat="1">
      <c r="A145" s="55"/>
      <c r="H145" s="384"/>
      <c r="J145" s="40"/>
      <c r="K145" s="40"/>
      <c r="L145" s="40"/>
      <c r="M145" s="40"/>
      <c r="N145" s="40"/>
      <c r="O145" s="40"/>
      <c r="P145" s="40"/>
    </row>
    <row r="146" spans="1:16" s="43" customFormat="1">
      <c r="A146" s="55"/>
      <c r="H146" s="384"/>
      <c r="J146" s="40"/>
      <c r="K146" s="40"/>
      <c r="L146" s="40"/>
      <c r="M146" s="40"/>
      <c r="N146" s="40"/>
      <c r="O146" s="40"/>
      <c r="P146" s="40"/>
    </row>
    <row r="147" spans="1:16" s="43" customFormat="1">
      <c r="A147" s="55"/>
      <c r="H147" s="384"/>
      <c r="J147" s="40"/>
      <c r="K147" s="40"/>
      <c r="L147" s="40"/>
      <c r="M147" s="40"/>
      <c r="N147" s="40"/>
      <c r="O147" s="40"/>
      <c r="P147" s="40"/>
    </row>
    <row r="148" spans="1:16" s="43" customFormat="1">
      <c r="A148" s="55"/>
      <c r="H148" s="384"/>
      <c r="J148" s="40"/>
      <c r="K148" s="40"/>
      <c r="L148" s="40"/>
      <c r="M148" s="40"/>
      <c r="N148" s="40"/>
      <c r="O148" s="40"/>
      <c r="P148" s="40"/>
    </row>
    <row r="149" spans="1:16" s="43" customFormat="1">
      <c r="A149" s="55"/>
      <c r="H149" s="384"/>
      <c r="J149" s="40"/>
      <c r="K149" s="40"/>
      <c r="L149" s="40"/>
      <c r="M149" s="40"/>
      <c r="N149" s="40"/>
      <c r="O149" s="40"/>
      <c r="P149" s="40"/>
    </row>
    <row r="150" spans="1:16" s="43" customFormat="1">
      <c r="A150" s="55"/>
      <c r="H150" s="384"/>
      <c r="J150" s="40"/>
      <c r="K150" s="40"/>
      <c r="L150" s="40"/>
      <c r="M150" s="40"/>
      <c r="N150" s="40"/>
      <c r="O150" s="40"/>
      <c r="P150" s="40"/>
    </row>
    <row r="151" spans="1:16" s="43" customFormat="1">
      <c r="A151" s="55"/>
      <c r="H151" s="384"/>
      <c r="J151" s="40"/>
      <c r="K151" s="40"/>
      <c r="L151" s="40"/>
      <c r="M151" s="40"/>
      <c r="N151" s="40"/>
      <c r="O151" s="40"/>
      <c r="P151" s="40"/>
    </row>
    <row r="152" spans="1:16" s="43" customFormat="1">
      <c r="A152" s="55"/>
      <c r="H152" s="384"/>
      <c r="J152" s="40"/>
      <c r="K152" s="40"/>
      <c r="L152" s="40"/>
      <c r="M152" s="40"/>
      <c r="N152" s="40"/>
      <c r="O152" s="40"/>
      <c r="P152" s="40"/>
    </row>
    <row r="153" spans="1:16" s="43" customFormat="1">
      <c r="A153" s="55"/>
      <c r="H153" s="384"/>
      <c r="J153" s="40"/>
      <c r="K153" s="40"/>
      <c r="L153" s="40"/>
      <c r="M153" s="40"/>
      <c r="N153" s="40"/>
      <c r="O153" s="40"/>
      <c r="P153" s="40"/>
    </row>
    <row r="154" spans="1:16" s="43" customFormat="1">
      <c r="A154" s="55"/>
      <c r="H154" s="384"/>
      <c r="J154" s="40"/>
      <c r="K154" s="40"/>
      <c r="L154" s="40"/>
      <c r="M154" s="40"/>
      <c r="N154" s="40"/>
      <c r="O154" s="40"/>
      <c r="P154" s="40"/>
    </row>
    <row r="155" spans="1:16" s="43" customFormat="1">
      <c r="A155" s="55"/>
      <c r="H155" s="384"/>
      <c r="J155" s="40"/>
      <c r="K155" s="40"/>
      <c r="L155" s="40"/>
      <c r="M155" s="40"/>
      <c r="N155" s="40"/>
      <c r="O155" s="40"/>
      <c r="P155" s="40"/>
    </row>
    <row r="156" spans="1:16" s="43" customFormat="1">
      <c r="A156" s="55"/>
      <c r="H156" s="384"/>
      <c r="J156" s="40"/>
      <c r="K156" s="40"/>
      <c r="L156" s="40"/>
      <c r="M156" s="40"/>
      <c r="N156" s="40"/>
      <c r="O156" s="40"/>
      <c r="P156" s="40"/>
    </row>
    <row r="157" spans="1:16" s="43" customFormat="1">
      <c r="A157" s="55"/>
      <c r="H157" s="384"/>
      <c r="J157" s="40"/>
      <c r="K157" s="40"/>
      <c r="L157" s="40"/>
      <c r="M157" s="40"/>
      <c r="N157" s="40"/>
      <c r="O157" s="40"/>
      <c r="P157" s="40"/>
    </row>
    <row r="158" spans="1:16" s="43" customFormat="1">
      <c r="A158" s="55"/>
      <c r="H158" s="384"/>
      <c r="J158" s="40"/>
      <c r="K158" s="40"/>
      <c r="L158" s="40"/>
      <c r="M158" s="40"/>
      <c r="N158" s="40"/>
      <c r="O158" s="40"/>
      <c r="P158" s="40"/>
    </row>
    <row r="159" spans="1:16" s="43" customFormat="1">
      <c r="A159" s="55"/>
      <c r="H159" s="384"/>
      <c r="J159" s="40"/>
      <c r="K159" s="40"/>
      <c r="L159" s="40"/>
      <c r="M159" s="40"/>
      <c r="N159" s="40"/>
      <c r="O159" s="40"/>
      <c r="P159" s="40"/>
    </row>
    <row r="160" spans="1:16" s="43" customFormat="1">
      <c r="A160" s="55"/>
      <c r="H160" s="384"/>
      <c r="J160" s="40"/>
      <c r="K160" s="40"/>
      <c r="L160" s="40"/>
      <c r="M160" s="40"/>
      <c r="N160" s="40"/>
      <c r="O160" s="40"/>
      <c r="P160" s="40"/>
    </row>
    <row r="161" spans="1:16" s="43" customFormat="1">
      <c r="A161" s="55"/>
      <c r="H161" s="384"/>
      <c r="J161" s="40"/>
      <c r="K161" s="40"/>
      <c r="L161" s="40"/>
      <c r="M161" s="40"/>
      <c r="N161" s="40"/>
      <c r="O161" s="40"/>
      <c r="P161" s="40"/>
    </row>
    <row r="162" spans="1:16" s="43" customFormat="1">
      <c r="A162" s="55"/>
      <c r="H162" s="384"/>
      <c r="J162" s="40"/>
      <c r="K162" s="40"/>
      <c r="L162" s="40"/>
      <c r="M162" s="40"/>
      <c r="N162" s="40"/>
      <c r="O162" s="40"/>
      <c r="P162" s="40"/>
    </row>
    <row r="163" spans="1:16" s="43" customFormat="1">
      <c r="A163" s="55"/>
      <c r="H163" s="384"/>
      <c r="J163" s="40"/>
      <c r="K163" s="40"/>
      <c r="L163" s="40"/>
      <c r="M163" s="40"/>
      <c r="N163" s="40"/>
      <c r="O163" s="40"/>
      <c r="P163" s="40"/>
    </row>
    <row r="164" spans="1:16" s="43" customFormat="1">
      <c r="A164" s="55"/>
      <c r="H164" s="384"/>
      <c r="J164" s="40"/>
      <c r="K164" s="40"/>
      <c r="L164" s="40"/>
      <c r="M164" s="40"/>
      <c r="N164" s="40"/>
      <c r="O164" s="40"/>
      <c r="P164" s="40"/>
    </row>
    <row r="165" spans="1:16" s="43" customFormat="1">
      <c r="A165" s="55"/>
      <c r="H165" s="384"/>
      <c r="J165" s="40"/>
      <c r="K165" s="40"/>
      <c r="L165" s="40"/>
      <c r="M165" s="40"/>
      <c r="N165" s="40"/>
      <c r="O165" s="40"/>
      <c r="P165" s="40"/>
    </row>
    <row r="166" spans="1:16" s="43" customFormat="1">
      <c r="A166" s="55"/>
      <c r="H166" s="384"/>
      <c r="J166" s="40"/>
      <c r="K166" s="40"/>
      <c r="L166" s="40"/>
      <c r="M166" s="40"/>
      <c r="N166" s="40"/>
      <c r="O166" s="40"/>
      <c r="P166" s="40"/>
    </row>
    <row r="167" spans="1:16" s="43" customFormat="1">
      <c r="A167" s="55"/>
      <c r="H167" s="384"/>
      <c r="J167" s="40"/>
      <c r="K167" s="40"/>
      <c r="L167" s="40"/>
      <c r="M167" s="40"/>
      <c r="N167" s="40"/>
      <c r="O167" s="40"/>
      <c r="P167" s="40"/>
    </row>
    <row r="168" spans="1:16" s="43" customFormat="1">
      <c r="A168" s="55"/>
      <c r="H168" s="384"/>
      <c r="J168" s="40"/>
      <c r="K168" s="40"/>
      <c r="L168" s="40"/>
      <c r="M168" s="40"/>
      <c r="N168" s="40"/>
      <c r="O168" s="40"/>
      <c r="P168" s="40"/>
    </row>
    <row r="169" spans="1:16" s="43" customFormat="1">
      <c r="A169" s="55"/>
      <c r="H169" s="384"/>
      <c r="J169" s="40"/>
      <c r="K169" s="40"/>
      <c r="L169" s="40"/>
      <c r="M169" s="40"/>
      <c r="N169" s="40"/>
      <c r="O169" s="40"/>
      <c r="P169" s="40"/>
    </row>
    <row r="170" spans="1:16" s="43" customFormat="1">
      <c r="A170" s="55"/>
      <c r="H170" s="384"/>
      <c r="J170" s="40"/>
      <c r="K170" s="40"/>
      <c r="L170" s="40"/>
      <c r="M170" s="40"/>
      <c r="N170" s="40"/>
      <c r="O170" s="40"/>
      <c r="P170" s="40"/>
    </row>
    <row r="171" spans="1:16" s="43" customFormat="1">
      <c r="A171" s="55"/>
      <c r="H171" s="384"/>
      <c r="J171" s="40"/>
      <c r="K171" s="40"/>
      <c r="L171" s="40"/>
      <c r="M171" s="40"/>
      <c r="N171" s="40"/>
      <c r="O171" s="40"/>
      <c r="P171" s="40"/>
    </row>
    <row r="172" spans="1:16" s="43" customFormat="1">
      <c r="A172" s="55"/>
      <c r="H172" s="384"/>
      <c r="J172" s="40"/>
      <c r="K172" s="40"/>
      <c r="L172" s="40"/>
      <c r="M172" s="40"/>
      <c r="N172" s="40"/>
      <c r="O172" s="40"/>
      <c r="P172" s="40"/>
    </row>
    <row r="173" spans="1:16" s="43" customFormat="1">
      <c r="A173" s="55"/>
      <c r="H173" s="384"/>
      <c r="J173" s="40"/>
      <c r="K173" s="40"/>
      <c r="L173" s="40"/>
      <c r="M173" s="40"/>
      <c r="N173" s="40"/>
      <c r="O173" s="40"/>
      <c r="P173" s="40"/>
    </row>
    <row r="174" spans="1:16" s="43" customFormat="1">
      <c r="A174" s="55"/>
      <c r="H174" s="384"/>
      <c r="J174" s="40"/>
      <c r="K174" s="40"/>
      <c r="L174" s="40"/>
      <c r="M174" s="40"/>
      <c r="N174" s="40"/>
      <c r="O174" s="40"/>
      <c r="P174" s="40"/>
    </row>
    <row r="175" spans="1:16" s="43" customFormat="1">
      <c r="A175" s="55"/>
      <c r="H175" s="384"/>
      <c r="J175" s="40"/>
      <c r="K175" s="40"/>
      <c r="L175" s="40"/>
      <c r="M175" s="40"/>
      <c r="N175" s="40"/>
      <c r="O175" s="40"/>
      <c r="P175" s="40"/>
    </row>
    <row r="176" spans="1:16" s="43" customFormat="1">
      <c r="A176" s="55"/>
      <c r="H176" s="384"/>
      <c r="J176" s="40"/>
      <c r="K176" s="40"/>
      <c r="L176" s="40"/>
      <c r="M176" s="40"/>
      <c r="N176" s="40"/>
      <c r="O176" s="40"/>
      <c r="P176" s="40"/>
    </row>
    <row r="177" spans="1:16" s="43" customFormat="1">
      <c r="A177" s="55"/>
      <c r="H177" s="384"/>
      <c r="J177" s="40"/>
      <c r="K177" s="40"/>
      <c r="L177" s="40"/>
      <c r="M177" s="40"/>
      <c r="N177" s="40"/>
      <c r="O177" s="40"/>
      <c r="P177" s="40"/>
    </row>
    <row r="178" spans="1:16" s="43" customFormat="1">
      <c r="A178" s="55"/>
      <c r="H178" s="384"/>
      <c r="J178" s="40"/>
      <c r="K178" s="40"/>
      <c r="L178" s="40"/>
      <c r="M178" s="40"/>
      <c r="N178" s="40"/>
      <c r="O178" s="40"/>
      <c r="P178" s="40"/>
    </row>
    <row r="179" spans="1:16" s="43" customFormat="1">
      <c r="A179" s="55"/>
      <c r="H179" s="384"/>
      <c r="J179" s="40"/>
      <c r="K179" s="40"/>
      <c r="L179" s="40"/>
      <c r="M179" s="40"/>
      <c r="N179" s="40"/>
      <c r="O179" s="40"/>
      <c r="P179" s="40"/>
    </row>
    <row r="180" spans="1:16" s="43" customFormat="1">
      <c r="A180" s="55"/>
      <c r="H180" s="384"/>
      <c r="J180" s="40"/>
      <c r="K180" s="40"/>
      <c r="L180" s="40"/>
      <c r="M180" s="40"/>
      <c r="N180" s="40"/>
      <c r="O180" s="40"/>
      <c r="P180" s="40"/>
    </row>
    <row r="181" spans="1:16" s="43" customFormat="1">
      <c r="A181" s="55"/>
      <c r="H181" s="384"/>
      <c r="J181" s="40"/>
      <c r="K181" s="40"/>
      <c r="L181" s="40"/>
      <c r="M181" s="40"/>
      <c r="N181" s="40"/>
      <c r="O181" s="40"/>
      <c r="P181" s="40"/>
    </row>
    <row r="182" spans="1:16" s="43" customFormat="1">
      <c r="A182" s="55"/>
      <c r="H182" s="384"/>
      <c r="J182" s="40"/>
      <c r="K182" s="40"/>
      <c r="L182" s="40"/>
      <c r="M182" s="40"/>
      <c r="N182" s="40"/>
      <c r="O182" s="40"/>
      <c r="P182" s="40"/>
    </row>
    <row r="183" spans="1:16" s="43" customFormat="1">
      <c r="A183" s="55"/>
      <c r="H183" s="384"/>
      <c r="J183" s="40"/>
      <c r="K183" s="40"/>
      <c r="L183" s="40"/>
      <c r="M183" s="40"/>
      <c r="N183" s="40"/>
      <c r="O183" s="40"/>
      <c r="P183" s="40"/>
    </row>
    <row r="184" spans="1:16" s="43" customFormat="1">
      <c r="A184" s="55"/>
      <c r="H184" s="384"/>
      <c r="J184" s="40"/>
      <c r="K184" s="40"/>
      <c r="L184" s="40"/>
      <c r="M184" s="40"/>
      <c r="N184" s="40"/>
      <c r="O184" s="40"/>
      <c r="P184" s="40"/>
    </row>
    <row r="185" spans="1:16" s="43" customFormat="1">
      <c r="A185" s="55"/>
      <c r="H185" s="384"/>
      <c r="J185" s="40"/>
      <c r="K185" s="40"/>
      <c r="L185" s="40"/>
      <c r="M185" s="40"/>
      <c r="N185" s="40"/>
      <c r="O185" s="40"/>
      <c r="P185" s="40"/>
    </row>
    <row r="186" spans="1:16" s="43" customFormat="1">
      <c r="A186" s="55"/>
      <c r="H186" s="384"/>
      <c r="J186" s="40"/>
      <c r="K186" s="40"/>
      <c r="L186" s="40"/>
      <c r="M186" s="40"/>
      <c r="N186" s="40"/>
      <c r="O186" s="40"/>
      <c r="P186" s="40"/>
    </row>
    <row r="187" spans="1:16" s="43" customFormat="1">
      <c r="A187" s="55"/>
      <c r="H187" s="384"/>
      <c r="J187" s="40"/>
      <c r="K187" s="40"/>
      <c r="L187" s="40"/>
      <c r="M187" s="40"/>
      <c r="N187" s="40"/>
      <c r="O187" s="40"/>
      <c r="P187" s="40"/>
    </row>
    <row r="188" spans="1:16" s="43" customFormat="1">
      <c r="A188" s="55"/>
      <c r="H188" s="384"/>
      <c r="J188" s="40"/>
      <c r="K188" s="40"/>
      <c r="L188" s="40"/>
      <c r="M188" s="40"/>
      <c r="N188" s="40"/>
      <c r="O188" s="40"/>
      <c r="P188" s="40"/>
    </row>
    <row r="189" spans="1:16" s="43" customFormat="1">
      <c r="A189" s="55"/>
      <c r="H189" s="384"/>
      <c r="J189" s="40"/>
      <c r="K189" s="40"/>
      <c r="L189" s="40"/>
      <c r="M189" s="40"/>
      <c r="N189" s="40"/>
      <c r="O189" s="40"/>
      <c r="P189" s="40"/>
    </row>
  </sheetData>
  <mergeCells count="19">
    <mergeCell ref="C39:J39"/>
    <mergeCell ref="L39:N39"/>
    <mergeCell ref="A7:N7"/>
    <mergeCell ref="A17:N17"/>
    <mergeCell ref="C38:J38"/>
    <mergeCell ref="L38:N38"/>
    <mergeCell ref="A38:B38"/>
    <mergeCell ref="A2:N2"/>
    <mergeCell ref="A4:A5"/>
    <mergeCell ref="B4:B5"/>
    <mergeCell ref="C4:C5"/>
    <mergeCell ref="J4:J5"/>
    <mergeCell ref="K4:N4"/>
    <mergeCell ref="D4:D5"/>
    <mergeCell ref="E4:E5"/>
    <mergeCell ref="G4:G5"/>
    <mergeCell ref="H4:H5"/>
    <mergeCell ref="F4:F5"/>
    <mergeCell ref="I4:I5"/>
  </mergeCells>
  <phoneticPr fontId="3" type="noConversion"/>
  <pageMargins left="0.70866141732283472" right="0.19685039370078741" top="0.78740157480314965" bottom="0.19685039370078741" header="0.19685039370078741" footer="0.11811023622047245"/>
  <pageSetup paperSize="9" scale="6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185"/>
  <sheetViews>
    <sheetView showZeros="0" topLeftCell="A4" zoomScale="75" zoomScaleNormal="75" zoomScaleSheetLayoutView="50" workbookViewId="0">
      <selection activeCell="J10" sqref="J10"/>
    </sheetView>
  </sheetViews>
  <sheetFormatPr defaultRowHeight="18.75" outlineLevelCol="1"/>
  <cols>
    <col min="1" max="1" width="33.85546875" style="3" customWidth="1"/>
    <col min="2" max="2" width="8.85546875" style="25" customWidth="1"/>
    <col min="3" max="3" width="12.28515625" style="25" hidden="1" customWidth="1" outlineLevel="1"/>
    <col min="4" max="4" width="13.140625" style="25" hidden="1" customWidth="1" outlineLevel="1"/>
    <col min="5" max="5" width="14.85546875" style="25" hidden="1" customWidth="1" outlineLevel="1"/>
    <col min="6" max="6" width="15.85546875" style="309" customWidth="1" collapsed="1"/>
    <col min="7" max="7" width="14.42578125" style="25" hidden="1" customWidth="1" outlineLevel="1"/>
    <col min="8" max="8" width="14.42578125" style="155" customWidth="1" collapsed="1"/>
    <col min="9" max="9" width="14.42578125" style="328" customWidth="1"/>
    <col min="10" max="10" width="12.7109375" style="3" customWidth="1"/>
    <col min="11" max="11" width="10.85546875" style="3" customWidth="1"/>
    <col min="12" max="12" width="11" style="3" customWidth="1"/>
    <col min="13" max="13" width="10.7109375" style="3" customWidth="1"/>
    <col min="14" max="14" width="10.5703125" style="3" customWidth="1"/>
    <col min="15" max="15" width="9.5703125" style="3" customWidth="1"/>
    <col min="16" max="16" width="9.85546875" style="3" customWidth="1"/>
    <col min="17" max="16384" width="9.140625" style="3"/>
  </cols>
  <sheetData>
    <row r="1" spans="1:21">
      <c r="N1" s="3">
        <v>6</v>
      </c>
    </row>
    <row r="4" spans="1:21">
      <c r="A4" s="392" t="s">
        <v>369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</row>
    <row r="5" spans="1:21">
      <c r="A5" s="428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</row>
    <row r="6" spans="1:21" s="254" customFormat="1" ht="43.5" customHeight="1">
      <c r="A6" s="401" t="s">
        <v>195</v>
      </c>
      <c r="B6" s="402" t="s">
        <v>6</v>
      </c>
      <c r="C6" s="396" t="s">
        <v>326</v>
      </c>
      <c r="D6" s="398" t="s">
        <v>337</v>
      </c>
      <c r="E6" s="396" t="str">
        <f>'2. Розрахунки з бюджетом'!E4</f>
        <v xml:space="preserve">Факт 2017 року </v>
      </c>
      <c r="F6" s="396" t="str">
        <f>'2. Розрахунки з бюджетом'!F4</f>
        <v xml:space="preserve">Факт 2018 року </v>
      </c>
      <c r="G6" s="396" t="str">
        <f>'2. Розрахунки з бюджетом'!G4</f>
        <v>Фінансовий план 2019 року</v>
      </c>
      <c r="H6" s="403" t="str">
        <f>'2. Розрахунки з бюджетом'!H4</f>
        <v>Факт 2019 року</v>
      </c>
      <c r="I6" s="396" t="str">
        <f>'2. Розрахунки з бюджетом'!I4</f>
        <v>Фінансовий план 2020 року</v>
      </c>
      <c r="J6" s="396" t="str">
        <f>'2. Розрахунки з бюджетом'!J4</f>
        <v>Плановий 2020 рік  (зі змінами)</v>
      </c>
      <c r="K6" s="402" t="s">
        <v>283</v>
      </c>
      <c r="L6" s="402"/>
      <c r="M6" s="402"/>
      <c r="N6" s="402"/>
    </row>
    <row r="7" spans="1:21" s="254" customFormat="1" ht="63" customHeight="1">
      <c r="A7" s="401"/>
      <c r="B7" s="402"/>
      <c r="C7" s="399"/>
      <c r="D7" s="398"/>
      <c r="E7" s="397"/>
      <c r="F7" s="397"/>
      <c r="G7" s="397"/>
      <c r="H7" s="404"/>
      <c r="I7" s="397"/>
      <c r="J7" s="397"/>
      <c r="K7" s="255" t="s">
        <v>155</v>
      </c>
      <c r="L7" s="255" t="s">
        <v>156</v>
      </c>
      <c r="M7" s="255" t="s">
        <v>157</v>
      </c>
      <c r="N7" s="255" t="s">
        <v>58</v>
      </c>
    </row>
    <row r="8" spans="1:21" ht="18" customHeight="1">
      <c r="A8" s="6">
        <v>1</v>
      </c>
      <c r="B8" s="7">
        <v>2</v>
      </c>
      <c r="C8" s="202">
        <v>3</v>
      </c>
      <c r="D8" s="202">
        <v>3</v>
      </c>
      <c r="E8" s="248">
        <v>3</v>
      </c>
      <c r="F8" s="248">
        <v>3</v>
      </c>
      <c r="G8" s="248">
        <v>4</v>
      </c>
      <c r="H8" s="248">
        <v>5</v>
      </c>
      <c r="I8" s="248">
        <v>5</v>
      </c>
      <c r="J8" s="248">
        <v>6</v>
      </c>
      <c r="K8" s="248">
        <v>7</v>
      </c>
      <c r="L8" s="248">
        <v>8</v>
      </c>
      <c r="M8" s="248">
        <v>9</v>
      </c>
      <c r="N8" s="248">
        <v>10</v>
      </c>
    </row>
    <row r="9" spans="1:21" s="5" customFormat="1" ht="59.25" customHeight="1">
      <c r="A9" s="104" t="s">
        <v>67</v>
      </c>
      <c r="B9" s="112">
        <v>4000</v>
      </c>
      <c r="C9" s="123">
        <f>C10+C11+C12+C13+C14</f>
        <v>9767.14</v>
      </c>
      <c r="D9" s="123">
        <f>'[37]4. Кап. інвестиції'!D9</f>
        <v>17754.599999999999</v>
      </c>
      <c r="E9" s="123">
        <f>E10+E11+E12+E13+E14</f>
        <v>10943</v>
      </c>
      <c r="F9" s="123">
        <f>F10+F11+F12+F13+F14</f>
        <v>25403.7</v>
      </c>
      <c r="G9" s="123">
        <f>G10+G11+G12+G13+G14</f>
        <v>31240</v>
      </c>
      <c r="H9" s="123">
        <f>H10+H11+H12+H13+H14</f>
        <v>27195.9</v>
      </c>
      <c r="I9" s="123">
        <v>31300</v>
      </c>
      <c r="J9" s="123">
        <f t="shared" ref="J9:J14" si="0">K9+L9+M9+N9</f>
        <v>38317.600000000006</v>
      </c>
      <c r="K9" s="123">
        <f>SUM(K10:K14)</f>
        <v>2472.9</v>
      </c>
      <c r="L9" s="123">
        <f>SUM(L10:L14)</f>
        <v>2150.5</v>
      </c>
      <c r="M9" s="123">
        <f>SUM(M10:M14)</f>
        <v>7241.1</v>
      </c>
      <c r="N9" s="123">
        <f>SUM(N10:N14)</f>
        <v>26453.100000000002</v>
      </c>
    </row>
    <row r="10" spans="1:21">
      <c r="A10" s="8" t="s">
        <v>340</v>
      </c>
      <c r="B10" s="236" t="s">
        <v>180</v>
      </c>
      <c r="C10" s="167"/>
      <c r="D10" s="167">
        <f>'[37]4. Кап. інвестиції'!D10</f>
        <v>1983.1</v>
      </c>
      <c r="E10" s="167">
        <f>'[38]4. Кап. інвестиції'!D10</f>
        <v>934.4</v>
      </c>
      <c r="F10" s="167">
        <f>'[39]4. Кап. інвестиції'!D10</f>
        <v>0</v>
      </c>
      <c r="G10" s="167">
        <f>'[40]4. Кап. інвестиції'!H10</f>
        <v>2000</v>
      </c>
      <c r="H10" s="167">
        <f>'[41]4. Кап. інвестиції'!D10</f>
        <v>4975.2</v>
      </c>
      <c r="I10" s="167">
        <v>0</v>
      </c>
      <c r="J10" s="13">
        <f t="shared" si="0"/>
        <v>8485.1</v>
      </c>
      <c r="K10" s="13">
        <v>310.10000000000002</v>
      </c>
      <c r="L10" s="13">
        <v>1445</v>
      </c>
      <c r="M10" s="13">
        <v>6441.1</v>
      </c>
      <c r="N10" s="13">
        <v>288.89999999999998</v>
      </c>
    </row>
    <row r="11" spans="1:21" ht="37.5">
      <c r="A11" s="8" t="s">
        <v>1</v>
      </c>
      <c r="B11" s="237">
        <v>4020</v>
      </c>
      <c r="C11" s="167"/>
      <c r="D11" s="167">
        <f>'[37]4. Кап. інвестиції'!D11</f>
        <v>0</v>
      </c>
      <c r="E11" s="167">
        <f>'[38]4. Кап. інвестиції'!D11</f>
        <v>0</v>
      </c>
      <c r="F11" s="167">
        <f>'[39]4. Кап. інвестиції'!D11</f>
        <v>0</v>
      </c>
      <c r="G11" s="167">
        <f>'[40]4. Кап. інвестиції'!H11</f>
        <v>0</v>
      </c>
      <c r="H11" s="167">
        <f>'[41]4. Кап. інвестиції'!D11</f>
        <v>0</v>
      </c>
      <c r="I11" s="167">
        <v>0</v>
      </c>
      <c r="J11" s="13">
        <f t="shared" si="0"/>
        <v>0</v>
      </c>
      <c r="K11" s="13"/>
      <c r="L11" s="13"/>
      <c r="M11" s="13"/>
      <c r="N11" s="13"/>
      <c r="U11" s="21"/>
    </row>
    <row r="12" spans="1:21" ht="56.25">
      <c r="A12" s="8" t="s">
        <v>15</v>
      </c>
      <c r="B12" s="236">
        <v>4030</v>
      </c>
      <c r="C12" s="167"/>
      <c r="D12" s="167">
        <f>'[37]4. Кап. інвестиції'!D12</f>
        <v>880.1</v>
      </c>
      <c r="E12" s="167">
        <f>'[38]4. Кап. інвестиції'!D12</f>
        <v>0</v>
      </c>
      <c r="F12" s="167">
        <f>'[39]4. Кап. інвестиції'!D12</f>
        <v>0</v>
      </c>
      <c r="G12" s="167">
        <f>'[40]4. Кап. інвестиції'!H12</f>
        <v>0</v>
      </c>
      <c r="H12" s="167">
        <f>'[41]4. Кап. інвестиції'!D12</f>
        <v>0</v>
      </c>
      <c r="I12" s="167">
        <v>400</v>
      </c>
      <c r="J12" s="13">
        <f t="shared" si="0"/>
        <v>0</v>
      </c>
      <c r="K12" s="13"/>
      <c r="L12" s="13"/>
      <c r="M12" s="13"/>
      <c r="N12" s="13"/>
      <c r="T12" s="21"/>
    </row>
    <row r="13" spans="1:21" ht="37.5">
      <c r="A13" s="8" t="s">
        <v>2</v>
      </c>
      <c r="B13" s="237">
        <v>4040</v>
      </c>
      <c r="C13" s="167"/>
      <c r="D13" s="167">
        <f>'[37]4. Кап. інвестиції'!D13</f>
        <v>0</v>
      </c>
      <c r="E13" s="167">
        <f>'[38]4. Кап. інвестиції'!D13</f>
        <v>857.8</v>
      </c>
      <c r="F13" s="167">
        <f>'[39]4. Кап. інвестиції'!D13</f>
        <v>0</v>
      </c>
      <c r="G13" s="167">
        <f>'[40]4. Кап. інвестиції'!H13</f>
        <v>4940</v>
      </c>
      <c r="H13" s="167">
        <f>'[41]4. Кап. інвестиції'!D13</f>
        <v>2397</v>
      </c>
      <c r="I13" s="167">
        <v>4600</v>
      </c>
      <c r="J13" s="13">
        <f t="shared" si="0"/>
        <v>0</v>
      </c>
      <c r="K13" s="13"/>
      <c r="L13" s="13"/>
      <c r="M13" s="13"/>
      <c r="N13" s="13"/>
    </row>
    <row r="14" spans="1:21" ht="75">
      <c r="A14" s="8" t="s">
        <v>54</v>
      </c>
      <c r="B14" s="236">
        <v>4050</v>
      </c>
      <c r="C14" s="167">
        <v>9767.14</v>
      </c>
      <c r="D14" s="167">
        <f>'[37]4. Кап. інвестиції'!D14</f>
        <v>14891.4</v>
      </c>
      <c r="E14" s="167">
        <f>'[38]4. Кап. інвестиції'!D14</f>
        <v>9150.7999999999993</v>
      </c>
      <c r="F14" s="167">
        <f>'[39]4. Кап. інвестиції'!D14</f>
        <v>25403.7</v>
      </c>
      <c r="G14" s="167">
        <f>'[40]4. Кап. інвестиції'!H14</f>
        <v>24300</v>
      </c>
      <c r="H14" s="167">
        <f>'[41]4. Кап. інвестиції'!D14</f>
        <v>19823.7</v>
      </c>
      <c r="I14" s="167">
        <v>26300</v>
      </c>
      <c r="J14" s="13">
        <f t="shared" si="0"/>
        <v>29832.5</v>
      </c>
      <c r="K14" s="13">
        <v>2162.8000000000002</v>
      </c>
      <c r="L14" s="13">
        <v>705.5</v>
      </c>
      <c r="M14" s="13">
        <v>800</v>
      </c>
      <c r="N14" s="13">
        <v>26164.2</v>
      </c>
    </row>
    <row r="15" spans="1:21" ht="20.100000000000001" customHeight="1">
      <c r="B15" s="3"/>
      <c r="C15" s="3"/>
      <c r="D15" s="3"/>
      <c r="E15" s="3"/>
      <c r="F15" s="314"/>
      <c r="G15" s="3"/>
      <c r="H15" s="174"/>
      <c r="I15" s="330"/>
      <c r="J15" s="65"/>
      <c r="K15" s="65"/>
      <c r="L15" s="65"/>
      <c r="M15" s="65"/>
      <c r="N15" s="65"/>
    </row>
    <row r="16" spans="1:21" ht="20.100000000000001" customHeight="1">
      <c r="B16" s="3"/>
      <c r="C16" s="3"/>
      <c r="D16" s="3"/>
      <c r="E16" s="3"/>
      <c r="F16" s="314"/>
      <c r="G16" s="3"/>
      <c r="H16" s="174"/>
      <c r="I16" s="330"/>
      <c r="J16" s="65"/>
      <c r="K16" s="65"/>
      <c r="L16" s="65"/>
      <c r="M16" s="65"/>
      <c r="N16" s="65"/>
    </row>
    <row r="17" spans="1:15" s="2" customFormat="1" ht="20.100000000000001" customHeight="1">
      <c r="A17" s="4"/>
      <c r="C17" s="3"/>
      <c r="D17" s="3"/>
      <c r="E17" s="3"/>
      <c r="F17" s="314"/>
      <c r="G17" s="3"/>
      <c r="H17" s="174"/>
      <c r="I17" s="330"/>
      <c r="J17" s="3"/>
      <c r="K17" s="3"/>
      <c r="L17" s="3"/>
      <c r="M17" s="3"/>
      <c r="N17" s="3"/>
      <c r="O17" s="3"/>
    </row>
    <row r="18" spans="1:15" ht="19.5" customHeight="1">
      <c r="A18" s="423" t="s">
        <v>304</v>
      </c>
      <c r="B18" s="423"/>
      <c r="C18" s="423"/>
      <c r="D18" s="38"/>
      <c r="E18" s="411"/>
      <c r="F18" s="411"/>
      <c r="G18" s="411"/>
      <c r="H18" s="411"/>
      <c r="I18" s="411"/>
      <c r="J18" s="411"/>
      <c r="K18" s="15"/>
      <c r="L18" s="414" t="s">
        <v>305</v>
      </c>
      <c r="M18" s="414"/>
      <c r="N18" s="414"/>
    </row>
    <row r="19" spans="1:15" s="2" customFormat="1" ht="20.100000000000001" customHeight="1">
      <c r="A19" s="25" t="s">
        <v>315</v>
      </c>
      <c r="B19" s="3"/>
      <c r="C19" s="400" t="s">
        <v>64</v>
      </c>
      <c r="D19" s="400"/>
      <c r="E19" s="400"/>
      <c r="F19" s="400"/>
      <c r="G19" s="400"/>
      <c r="H19" s="400"/>
      <c r="I19" s="400"/>
      <c r="J19" s="400"/>
      <c r="K19" s="27"/>
      <c r="L19" s="418" t="s">
        <v>84</v>
      </c>
      <c r="M19" s="418"/>
      <c r="N19" s="418"/>
    </row>
    <row r="20" spans="1:15">
      <c r="A20" s="45"/>
    </row>
    <row r="21" spans="1:15">
      <c r="A21" s="45"/>
    </row>
    <row r="22" spans="1:15">
      <c r="A22" s="45"/>
    </row>
    <row r="23" spans="1:15">
      <c r="A23" s="45"/>
    </row>
    <row r="24" spans="1:15">
      <c r="A24" s="45"/>
    </row>
    <row r="25" spans="1:15">
      <c r="A25" s="45"/>
    </row>
    <row r="26" spans="1:15">
      <c r="A26" s="45"/>
    </row>
    <row r="27" spans="1:15">
      <c r="A27" s="45"/>
    </row>
    <row r="28" spans="1:15">
      <c r="A28" s="45"/>
    </row>
    <row r="29" spans="1:15">
      <c r="A29" s="45"/>
    </row>
    <row r="30" spans="1:15">
      <c r="A30" s="45"/>
    </row>
    <row r="31" spans="1:15">
      <c r="A31" s="45"/>
    </row>
    <row r="32" spans="1:15">
      <c r="A32" s="45"/>
    </row>
    <row r="33" spans="1:1">
      <c r="A33" s="45"/>
    </row>
    <row r="34" spans="1:1">
      <c r="A34" s="45"/>
    </row>
    <row r="35" spans="1:1">
      <c r="A35" s="45"/>
    </row>
    <row r="36" spans="1:1">
      <c r="A36" s="45"/>
    </row>
    <row r="37" spans="1:1">
      <c r="A37" s="45"/>
    </row>
    <row r="38" spans="1:1">
      <c r="A38" s="45"/>
    </row>
    <row r="39" spans="1:1">
      <c r="A39" s="45"/>
    </row>
    <row r="40" spans="1:1">
      <c r="A40" s="45"/>
    </row>
    <row r="41" spans="1:1">
      <c r="A41" s="45"/>
    </row>
    <row r="42" spans="1:1">
      <c r="A42" s="45"/>
    </row>
    <row r="43" spans="1:1">
      <c r="A43" s="45"/>
    </row>
    <row r="44" spans="1:1">
      <c r="A44" s="45"/>
    </row>
    <row r="45" spans="1:1">
      <c r="A45" s="45"/>
    </row>
    <row r="46" spans="1:1">
      <c r="A46" s="45"/>
    </row>
    <row r="47" spans="1:1">
      <c r="A47" s="45"/>
    </row>
    <row r="48" spans="1:1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  <row r="55" spans="1:1">
      <c r="A55" s="45"/>
    </row>
    <row r="56" spans="1:1">
      <c r="A56" s="45"/>
    </row>
    <row r="57" spans="1:1">
      <c r="A57" s="45"/>
    </row>
    <row r="58" spans="1:1">
      <c r="A58" s="45"/>
    </row>
    <row r="59" spans="1:1">
      <c r="A59" s="45"/>
    </row>
    <row r="60" spans="1:1">
      <c r="A60" s="45"/>
    </row>
    <row r="61" spans="1:1">
      <c r="A61" s="45"/>
    </row>
    <row r="62" spans="1:1">
      <c r="A62" s="45"/>
    </row>
    <row r="63" spans="1:1">
      <c r="A63" s="45"/>
    </row>
    <row r="64" spans="1:1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  <row r="183" spans="1:1">
      <c r="A183" s="45"/>
    </row>
    <row r="184" spans="1:1">
      <c r="A184" s="45"/>
    </row>
    <row r="185" spans="1:1">
      <c r="A185" s="45"/>
    </row>
  </sheetData>
  <mergeCells count="18">
    <mergeCell ref="A4:N4"/>
    <mergeCell ref="B6:B7"/>
    <mergeCell ref="C6:C7"/>
    <mergeCell ref="A5:N5"/>
    <mergeCell ref="J6:J7"/>
    <mergeCell ref="K6:N6"/>
    <mergeCell ref="D6:D7"/>
    <mergeCell ref="H6:H7"/>
    <mergeCell ref="A6:A7"/>
    <mergeCell ref="E6:E7"/>
    <mergeCell ref="G6:G7"/>
    <mergeCell ref="F6:F7"/>
    <mergeCell ref="I6:I7"/>
    <mergeCell ref="E18:J18"/>
    <mergeCell ref="A18:C18"/>
    <mergeCell ref="L18:N18"/>
    <mergeCell ref="C19:J19"/>
    <mergeCell ref="L19:N19"/>
  </mergeCells>
  <phoneticPr fontId="0" type="noConversion"/>
  <pageMargins left="0.70866141732283472" right="0.19685039370078741" top="0.78740157480314965" bottom="0.78740157480314965" header="0.27559055118110237" footer="0.31496062992125984"/>
  <pageSetup paperSize="9" scale="66" firstPageNumber="9" fitToHeight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CFF"/>
  </sheetPr>
  <dimension ref="A1:AH115"/>
  <sheetViews>
    <sheetView showZeros="0" view="pageBreakPreview" topLeftCell="A89" zoomScale="75" zoomScaleNormal="75" zoomScaleSheetLayoutView="75" workbookViewId="0">
      <selection activeCell="A2" sqref="A2:M2"/>
    </sheetView>
  </sheetViews>
  <sheetFormatPr defaultRowHeight="18.75" outlineLevelRow="1" outlineLevelCol="1"/>
  <cols>
    <col min="1" max="1" width="58.5703125" style="2" customWidth="1"/>
    <col min="2" max="2" width="10.42578125" style="185" hidden="1" customWidth="1" outlineLevel="1"/>
    <col min="3" max="3" width="12.140625" style="185" hidden="1" customWidth="1" outlineLevel="1"/>
    <col min="4" max="4" width="14.5703125" style="185" hidden="1" customWidth="1" outlineLevel="1"/>
    <col min="5" max="5" width="14.5703125" style="185" customWidth="1" collapsed="1"/>
    <col min="6" max="6" width="15.5703125" style="185" customWidth="1"/>
    <col min="7" max="7" width="17.7109375" style="2" customWidth="1"/>
    <col min="8" max="8" width="16.28515625" style="2" customWidth="1"/>
    <col min="9" max="9" width="16" style="2" hidden="1" customWidth="1" outlineLevel="1"/>
    <col min="10" max="10" width="19.140625" style="2" hidden="1" customWidth="1" outlineLevel="1"/>
    <col min="11" max="11" width="19.140625" style="2" customWidth="1" collapsed="1"/>
    <col min="12" max="12" width="19.140625" style="2" customWidth="1"/>
    <col min="13" max="13" width="16.5703125" style="2" customWidth="1"/>
    <col min="14" max="14" width="17.28515625" style="2" customWidth="1"/>
    <col min="15" max="15" width="15.7109375" style="2" customWidth="1"/>
    <col min="16" max="16" width="13.28515625" style="2" customWidth="1"/>
    <col min="17" max="18" width="12.7109375" style="2" customWidth="1"/>
    <col min="19" max="19" width="12.85546875" style="2" customWidth="1"/>
    <col min="20" max="20" width="11.5703125" style="2" customWidth="1"/>
    <col min="21" max="22" width="9.42578125" style="2" bestFit="1" customWidth="1"/>
    <col min="23" max="23" width="11.28515625" style="2" customWidth="1"/>
    <col min="24" max="25" width="9.140625" style="2"/>
    <col min="26" max="26" width="16.85546875" style="2" customWidth="1"/>
    <col min="27" max="16384" width="9.140625" style="2"/>
  </cols>
  <sheetData>
    <row r="1" spans="1:23">
      <c r="A1" s="478" t="s">
        <v>105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115"/>
      <c r="O1" s="115"/>
      <c r="P1" s="115"/>
      <c r="Q1" s="115"/>
      <c r="R1" s="115"/>
      <c r="S1" s="115"/>
      <c r="W1" s="2">
        <v>7</v>
      </c>
    </row>
    <row r="2" spans="1:23">
      <c r="A2" s="478" t="s">
        <v>362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115"/>
      <c r="O2" s="115"/>
      <c r="P2" s="115"/>
      <c r="Q2" s="115"/>
      <c r="R2" s="115"/>
      <c r="S2" s="115"/>
    </row>
    <row r="3" spans="1:23">
      <c r="A3" s="504" t="s">
        <v>370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25"/>
      <c r="O3" s="25"/>
      <c r="P3" s="25"/>
      <c r="Q3" s="25"/>
      <c r="R3" s="25"/>
      <c r="S3" s="25"/>
    </row>
    <row r="4" spans="1:23" ht="20.100000000000001" customHeight="1">
      <c r="A4" s="503" t="s">
        <v>113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66"/>
      <c r="O4" s="66"/>
      <c r="P4" s="66"/>
      <c r="Q4" s="66"/>
      <c r="R4" s="66"/>
      <c r="S4" s="66"/>
    </row>
    <row r="5" spans="1:23" ht="21.95" customHeight="1">
      <c r="A5" s="5" t="s">
        <v>74</v>
      </c>
      <c r="B5" s="175"/>
      <c r="C5" s="175"/>
      <c r="D5" s="175"/>
      <c r="E5" s="175"/>
      <c r="F5" s="17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3" ht="16.5" customHeight="1">
      <c r="A6" s="73"/>
      <c r="B6" s="176"/>
      <c r="C6" s="176"/>
      <c r="D6" s="176"/>
      <c r="E6" s="176"/>
      <c r="F6" s="176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3" ht="18.75" customHeight="1">
      <c r="A7" s="2" t="s">
        <v>231</v>
      </c>
      <c r="B7" s="177"/>
      <c r="C7" s="177"/>
      <c r="D7" s="177"/>
      <c r="E7" s="177"/>
      <c r="F7" s="177"/>
    </row>
    <row r="8" spans="1:23" ht="18.75" customHeight="1">
      <c r="A8" s="74"/>
      <c r="B8" s="178"/>
      <c r="C8" s="178"/>
      <c r="D8" s="178"/>
      <c r="E8" s="178"/>
      <c r="F8" s="178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</row>
    <row r="9" spans="1:23" s="254" customFormat="1" ht="49.5">
      <c r="A9" s="251" t="s">
        <v>195</v>
      </c>
      <c r="B9" s="252" t="s">
        <v>326</v>
      </c>
      <c r="C9" s="261" t="s">
        <v>337</v>
      </c>
      <c r="D9" s="252" t="str">
        <f>'Фінплан - зведені показники'!E15</f>
        <v xml:space="preserve">Факт 2017 року </v>
      </c>
      <c r="E9" s="310" t="str">
        <f>'Фінплан - зведені показники'!F15</f>
        <v xml:space="preserve">Факт 2018 року </v>
      </c>
      <c r="F9" s="252" t="s">
        <v>383</v>
      </c>
      <c r="G9" s="327" t="str">
        <f>'Фінплан - зведені показники'!I15</f>
        <v>Фінансовий план 2020 року</v>
      </c>
      <c r="H9" s="252" t="str">
        <f>'Фінплан - зведені показники'!J15</f>
        <v>Плановий 2020 рік  (зі змінами)</v>
      </c>
      <c r="I9" s="402"/>
      <c r="J9" s="402"/>
      <c r="K9" s="402" t="s">
        <v>384</v>
      </c>
      <c r="L9" s="402"/>
      <c r="O9" s="262"/>
      <c r="P9" s="262"/>
      <c r="Q9" s="262"/>
      <c r="R9" s="262"/>
      <c r="S9" s="263"/>
      <c r="T9" s="263"/>
    </row>
    <row r="10" spans="1:23" s="3" customFormat="1" ht="18" customHeight="1">
      <c r="A10" s="6">
        <v>1</v>
      </c>
      <c r="B10" s="7">
        <v>2</v>
      </c>
      <c r="C10" s="202">
        <v>2</v>
      </c>
      <c r="D10" s="7">
        <v>2</v>
      </c>
      <c r="E10" s="316">
        <v>2</v>
      </c>
      <c r="F10" s="7">
        <v>3</v>
      </c>
      <c r="G10" s="7">
        <v>4</v>
      </c>
      <c r="H10" s="7">
        <v>5</v>
      </c>
      <c r="I10" s="431"/>
      <c r="J10" s="491"/>
      <c r="K10" s="431">
        <v>6</v>
      </c>
      <c r="L10" s="491"/>
      <c r="O10" s="48"/>
      <c r="P10" s="48"/>
      <c r="Q10" s="48"/>
      <c r="R10" s="48"/>
      <c r="S10" s="25"/>
      <c r="T10" s="25"/>
    </row>
    <row r="11" spans="1:23" s="3" customFormat="1" ht="37.5">
      <c r="A11" s="10" t="s">
        <v>114</v>
      </c>
      <c r="B11" s="179">
        <f>SUM(B12:B17)</f>
        <v>14</v>
      </c>
      <c r="C11" s="179">
        <f>'[37]5. Інша інформація'!C14</f>
        <v>16</v>
      </c>
      <c r="D11" s="179">
        <f>SUM(D12:D17)</f>
        <v>19</v>
      </c>
      <c r="E11" s="179">
        <f>'[39]5. Інша інформація'!C14</f>
        <v>20</v>
      </c>
      <c r="F11" s="179">
        <f>'[40]5. Інша інформація'!G11</f>
        <v>20</v>
      </c>
      <c r="G11" s="288">
        <v>25</v>
      </c>
      <c r="H11" s="80">
        <f>SUM(H12:H17)</f>
        <v>35</v>
      </c>
      <c r="I11" s="479"/>
      <c r="J11" s="480"/>
      <c r="K11" s="479">
        <f>H11/G11</f>
        <v>1.4</v>
      </c>
      <c r="L11" s="480"/>
      <c r="O11" s="97"/>
      <c r="P11" s="97"/>
      <c r="Q11" s="32"/>
      <c r="R11" s="32"/>
      <c r="S11" s="136"/>
      <c r="T11" s="136"/>
    </row>
    <row r="12" spans="1:23" s="3" customFormat="1">
      <c r="A12" s="8" t="s">
        <v>215</v>
      </c>
      <c r="B12" s="171">
        <v>4</v>
      </c>
      <c r="C12" s="201">
        <f>'[37]5. Інша інформація'!C15</f>
        <v>4</v>
      </c>
      <c r="D12" s="248">
        <v>4</v>
      </c>
      <c r="E12" s="248">
        <f>'[39]5. Інша інформація'!C15</f>
        <v>5</v>
      </c>
      <c r="F12" s="248">
        <f>'[41]5. Інша інформація'!C15</f>
        <v>5</v>
      </c>
      <c r="G12" s="287">
        <v>5</v>
      </c>
      <c r="H12" s="7">
        <v>5</v>
      </c>
      <c r="I12" s="479"/>
      <c r="J12" s="480"/>
      <c r="K12" s="479">
        <f t="shared" ref="K12:K33" si="0">H12/G12</f>
        <v>1</v>
      </c>
      <c r="L12" s="480"/>
      <c r="O12" s="97"/>
      <c r="P12" s="97"/>
      <c r="Q12" s="32"/>
      <c r="R12" s="32"/>
      <c r="S12" s="136"/>
      <c r="T12" s="136"/>
    </row>
    <row r="13" spans="1:23" s="3" customFormat="1" ht="20.100000000000001" customHeight="1">
      <c r="A13" s="8" t="s">
        <v>216</v>
      </c>
      <c r="B13" s="171">
        <v>1</v>
      </c>
      <c r="C13" s="201">
        <f>'[37]5. Інша інформація'!C16</f>
        <v>1</v>
      </c>
      <c r="D13" s="248">
        <v>1</v>
      </c>
      <c r="E13" s="248">
        <f>'[39]5. Інша інформація'!C16</f>
        <v>1</v>
      </c>
      <c r="F13" s="248">
        <f>'[41]5. Інша інформація'!C16</f>
        <v>1</v>
      </c>
      <c r="G13" s="287">
        <v>1</v>
      </c>
      <c r="H13" s="7">
        <v>2</v>
      </c>
      <c r="I13" s="479"/>
      <c r="J13" s="480"/>
      <c r="K13" s="479">
        <f t="shared" si="0"/>
        <v>2</v>
      </c>
      <c r="L13" s="480"/>
      <c r="O13" s="97"/>
      <c r="P13" s="97"/>
      <c r="Q13" s="32"/>
      <c r="R13" s="32"/>
      <c r="S13" s="136"/>
      <c r="T13" s="136"/>
    </row>
    <row r="14" spans="1:23" s="3" customFormat="1" ht="20.100000000000001" customHeight="1">
      <c r="A14" s="8" t="s">
        <v>217</v>
      </c>
      <c r="B14" s="171">
        <v>1</v>
      </c>
      <c r="C14" s="201">
        <f>'[37]5. Інша інформація'!C17</f>
        <v>2</v>
      </c>
      <c r="D14" s="248">
        <v>3</v>
      </c>
      <c r="E14" s="248">
        <f>'[39]5. Інша інформація'!C17</f>
        <v>3</v>
      </c>
      <c r="F14" s="248">
        <f>'[41]5. Інша інформація'!C17</f>
        <v>3</v>
      </c>
      <c r="G14" s="287">
        <v>3</v>
      </c>
      <c r="H14" s="7">
        <v>3</v>
      </c>
      <c r="I14" s="479"/>
      <c r="J14" s="480"/>
      <c r="K14" s="479">
        <f t="shared" si="0"/>
        <v>1</v>
      </c>
      <c r="L14" s="480"/>
      <c r="O14" s="97"/>
      <c r="P14" s="97"/>
      <c r="Q14" s="32"/>
      <c r="R14" s="32"/>
      <c r="S14" s="136"/>
      <c r="T14" s="136"/>
    </row>
    <row r="15" spans="1:23" s="3" customFormat="1">
      <c r="A15" s="8" t="s">
        <v>218</v>
      </c>
      <c r="B15" s="171"/>
      <c r="C15" s="201">
        <f>'[37]5. Інша інформація'!C18</f>
        <v>0</v>
      </c>
      <c r="D15" s="248">
        <v>0</v>
      </c>
      <c r="E15" s="248">
        <f>'[39]5. Інша інформація'!C18</f>
        <v>0</v>
      </c>
      <c r="F15" s="248">
        <f>'[41]5. Інша інформація'!C18</f>
        <v>0</v>
      </c>
      <c r="G15" s="287"/>
      <c r="H15" s="7"/>
      <c r="I15" s="479"/>
      <c r="J15" s="480"/>
      <c r="K15" s="479"/>
      <c r="L15" s="480"/>
      <c r="O15" s="97"/>
      <c r="P15" s="97"/>
      <c r="Q15" s="32"/>
      <c r="R15" s="32"/>
      <c r="S15" s="136"/>
      <c r="T15" s="136"/>
    </row>
    <row r="16" spans="1:23" s="3" customFormat="1" ht="20.100000000000001" customHeight="1">
      <c r="A16" s="8" t="s">
        <v>219</v>
      </c>
      <c r="B16" s="171">
        <v>8</v>
      </c>
      <c r="C16" s="201">
        <f>'[37]5. Інша інформація'!C19</f>
        <v>9</v>
      </c>
      <c r="D16" s="248">
        <v>6</v>
      </c>
      <c r="E16" s="248">
        <f>'[39]5. Інша інформація'!C19</f>
        <v>5</v>
      </c>
      <c r="F16" s="248">
        <f>'[41]5. Інша інформація'!C19</f>
        <v>7</v>
      </c>
      <c r="G16" s="287">
        <v>10</v>
      </c>
      <c r="H16" s="7">
        <v>11</v>
      </c>
      <c r="I16" s="479"/>
      <c r="J16" s="480"/>
      <c r="K16" s="479">
        <f t="shared" si="0"/>
        <v>1.1000000000000001</v>
      </c>
      <c r="L16" s="480"/>
      <c r="O16" s="97"/>
      <c r="P16" s="97"/>
      <c r="Q16" s="32"/>
      <c r="R16" s="32"/>
      <c r="S16" s="136"/>
      <c r="T16" s="136"/>
    </row>
    <row r="17" spans="1:20" s="3" customFormat="1">
      <c r="A17" s="8" t="s">
        <v>220</v>
      </c>
      <c r="B17" s="180"/>
      <c r="C17" s="197">
        <f>'[37]5. Інша інформація'!C20</f>
        <v>0</v>
      </c>
      <c r="D17" s="248">
        <v>5</v>
      </c>
      <c r="E17" s="248">
        <f>'[39]5. Інша інформація'!C20</f>
        <v>6</v>
      </c>
      <c r="F17" s="248">
        <f>'[41]5. Інша інформація'!C20</f>
        <v>5</v>
      </c>
      <c r="G17" s="287">
        <v>6</v>
      </c>
      <c r="H17" s="7">
        <f>6+8</f>
        <v>14</v>
      </c>
      <c r="I17" s="479"/>
      <c r="J17" s="480"/>
      <c r="K17" s="479">
        <f t="shared" si="0"/>
        <v>2.3333333333333335</v>
      </c>
      <c r="L17" s="480"/>
      <c r="O17" s="97"/>
      <c r="P17" s="97"/>
      <c r="Q17" s="32"/>
      <c r="R17" s="32"/>
      <c r="S17" s="136"/>
      <c r="T17" s="136"/>
    </row>
    <row r="18" spans="1:20" s="3" customFormat="1" ht="37.5">
      <c r="A18" s="10" t="s">
        <v>201</v>
      </c>
      <c r="B18" s="179">
        <f>SUM(B19:B21)</f>
        <v>904</v>
      </c>
      <c r="C18" s="204">
        <f>'[37]5. Інша інформація'!C21</f>
        <v>1216.5</v>
      </c>
      <c r="D18" s="204">
        <f>SUM(D19:D21)</f>
        <v>1566.1</v>
      </c>
      <c r="E18" s="204">
        <f>'[39]5. Інша інформація'!C21</f>
        <v>1992.5</v>
      </c>
      <c r="F18" s="204">
        <f>'[40]5. Інша інформація'!G18</f>
        <v>2418.2000000000003</v>
      </c>
      <c r="G18" s="113">
        <v>3536.1000000000004</v>
      </c>
      <c r="H18" s="113">
        <f>SUM(H19:H21)</f>
        <v>5994.8</v>
      </c>
      <c r="I18" s="479"/>
      <c r="J18" s="480"/>
      <c r="K18" s="479">
        <f>H18/G18</f>
        <v>1.6953140465484573</v>
      </c>
      <c r="L18" s="480"/>
      <c r="O18" s="97"/>
      <c r="P18" s="97"/>
      <c r="Q18" s="32"/>
      <c r="R18" s="32"/>
      <c r="S18" s="136"/>
      <c r="T18" s="136"/>
    </row>
    <row r="19" spans="1:20" s="3" customFormat="1">
      <c r="A19" s="8" t="s">
        <v>193</v>
      </c>
      <c r="B19" s="154">
        <f>B23-0.7</f>
        <v>85.899999999999991</v>
      </c>
      <c r="C19" s="166">
        <f>'[37]5. Інша інформація'!C22</f>
        <v>138</v>
      </c>
      <c r="D19" s="166">
        <f>'[38]5. Інша інформація'!C22</f>
        <v>176.7</v>
      </c>
      <c r="E19" s="166">
        <f>'[39]5. Інша інформація'!C22</f>
        <v>209.70000000000002</v>
      </c>
      <c r="F19" s="166">
        <f>'[41]5. Інша інформація'!C22</f>
        <v>255.8</v>
      </c>
      <c r="G19" s="13">
        <v>280.2</v>
      </c>
      <c r="H19" s="13">
        <v>492.6</v>
      </c>
      <c r="I19" s="479"/>
      <c r="J19" s="480"/>
      <c r="K19" s="479">
        <f t="shared" si="0"/>
        <v>1.7580299785867239</v>
      </c>
      <c r="L19" s="480"/>
      <c r="O19" s="97"/>
      <c r="P19" s="97"/>
      <c r="Q19" s="32"/>
      <c r="R19" s="32"/>
      <c r="S19" s="136"/>
      <c r="T19" s="136"/>
    </row>
    <row r="20" spans="1:20" s="3" customFormat="1">
      <c r="A20" s="8" t="s">
        <v>203</v>
      </c>
      <c r="B20" s="154">
        <f>'1.Фінансовий результат'!C43-B19</f>
        <v>489.1</v>
      </c>
      <c r="C20" s="166">
        <f>'[37]5. Інша інформація'!C23</f>
        <v>592.4</v>
      </c>
      <c r="D20" s="13">
        <f>'1.Фінансовий результат'!E43-'5. Інша інформація'!D19</f>
        <v>1076.8</v>
      </c>
      <c r="E20" s="166">
        <f>'[39]5. Інша інформація'!C23</f>
        <v>1385.3</v>
      </c>
      <c r="F20" s="166">
        <f>'[41]5. Інша інформація'!C23</f>
        <v>1558.2</v>
      </c>
      <c r="G20" s="13">
        <v>1997.6000000000001</v>
      </c>
      <c r="H20" s="13">
        <f>'1.Фінансовий результат'!J43-'5. Інша інформація'!H19</f>
        <v>3523.0000000000005</v>
      </c>
      <c r="I20" s="479"/>
      <c r="J20" s="480"/>
      <c r="K20" s="479">
        <f t="shared" si="0"/>
        <v>1.7636163396075291</v>
      </c>
      <c r="L20" s="480"/>
      <c r="O20" s="97"/>
      <c r="P20" s="97"/>
      <c r="Q20" s="32"/>
      <c r="R20" s="32"/>
      <c r="S20" s="136"/>
      <c r="T20" s="136"/>
    </row>
    <row r="21" spans="1:20" s="3" customFormat="1">
      <c r="A21" s="8" t="s">
        <v>194</v>
      </c>
      <c r="B21" s="154">
        <f>'1.Фінансовий результат'!C23</f>
        <v>329</v>
      </c>
      <c r="C21" s="166">
        <f>'[37]5. Інша інформація'!C24</f>
        <v>486.09999999999997</v>
      </c>
      <c r="D21" s="13">
        <f>'1.Фінансовий результат'!E23</f>
        <v>312.60000000000002</v>
      </c>
      <c r="E21" s="166">
        <f>'[39]5. Інша інформація'!C24</f>
        <v>397.5</v>
      </c>
      <c r="F21" s="166">
        <f>'[41]5. Інша інформація'!C24</f>
        <v>647.6</v>
      </c>
      <c r="G21" s="13">
        <v>1258.3</v>
      </c>
      <c r="H21" s="13">
        <f>'1.Фінансовий результат'!J23</f>
        <v>1979.2</v>
      </c>
      <c r="I21" s="479"/>
      <c r="J21" s="480"/>
      <c r="K21" s="479">
        <f t="shared" si="0"/>
        <v>1.5729158388301678</v>
      </c>
      <c r="L21" s="480"/>
      <c r="O21" s="97"/>
      <c r="P21" s="97"/>
      <c r="Q21" s="32"/>
      <c r="R21" s="32"/>
      <c r="S21" s="136"/>
      <c r="T21" s="136"/>
    </row>
    <row r="22" spans="1:20" s="3" customFormat="1" ht="37.5">
      <c r="A22" s="10" t="s">
        <v>202</v>
      </c>
      <c r="B22" s="159">
        <f>SUM(B23:B25)</f>
        <v>943.5</v>
      </c>
      <c r="C22" s="204">
        <f>'[37]5. Інша інформація'!C25</f>
        <v>1223.6999999999998</v>
      </c>
      <c r="D22" s="204">
        <f>SUM(D23:D25)</f>
        <v>1611.1</v>
      </c>
      <c r="E22" s="204">
        <f>'[39]5. Інша інформація'!C25</f>
        <v>2013.8</v>
      </c>
      <c r="F22" s="204">
        <f>'[40]5. Інша інформація'!G22</f>
        <v>2418.2000000000003</v>
      </c>
      <c r="G22" s="113">
        <v>3536.1000000000004</v>
      </c>
      <c r="H22" s="113">
        <f>SUM(H23:H25)</f>
        <v>5994.8</v>
      </c>
      <c r="I22" s="479"/>
      <c r="J22" s="480"/>
      <c r="K22" s="479">
        <f t="shared" si="0"/>
        <v>1.6953140465484573</v>
      </c>
      <c r="L22" s="480"/>
      <c r="O22" s="97"/>
      <c r="P22" s="97"/>
      <c r="Q22" s="32"/>
      <c r="R22" s="32"/>
      <c r="S22" s="136"/>
      <c r="T22" s="136"/>
    </row>
    <row r="23" spans="1:20" s="3" customFormat="1" ht="20.100000000000001" customHeight="1">
      <c r="A23" s="8" t="s">
        <v>193</v>
      </c>
      <c r="B23" s="154">
        <v>86.6</v>
      </c>
      <c r="C23" s="166">
        <f>'[37]5. Інша інформація'!C26</f>
        <v>138</v>
      </c>
      <c r="D23" s="166">
        <f>'[38]5. Інша інформація'!$C$26</f>
        <v>186.39999999999998</v>
      </c>
      <c r="E23" s="166">
        <f>'[39]5. Інша інформація'!C26</f>
        <v>218.4</v>
      </c>
      <c r="F23" s="166">
        <f>'[41]5. Інша інформація'!C26</f>
        <v>255.8</v>
      </c>
      <c r="G23" s="13">
        <v>280.2</v>
      </c>
      <c r="H23" s="13">
        <f>H19</f>
        <v>492.6</v>
      </c>
      <c r="I23" s="479"/>
      <c r="J23" s="480"/>
      <c r="K23" s="479">
        <f t="shared" si="0"/>
        <v>1.7580299785867239</v>
      </c>
      <c r="L23" s="480"/>
      <c r="O23" s="97"/>
      <c r="P23" s="97"/>
      <c r="Q23" s="32"/>
      <c r="R23" s="32"/>
      <c r="S23" s="136"/>
      <c r="T23" s="136"/>
    </row>
    <row r="24" spans="1:20" s="3" customFormat="1">
      <c r="A24" s="8" t="s">
        <v>203</v>
      </c>
      <c r="B24" s="154">
        <f>B20+33.3+0.6</f>
        <v>523</v>
      </c>
      <c r="C24" s="166">
        <f>'[37]5. Інша інформація'!C27</f>
        <v>594.1</v>
      </c>
      <c r="D24" s="166">
        <f>D20+26.9</f>
        <v>1103.7</v>
      </c>
      <c r="E24" s="166">
        <f>'[39]5. Інша інформація'!C27</f>
        <v>1394.6</v>
      </c>
      <c r="F24" s="166">
        <f>'[41]5. Інша інформація'!C27</f>
        <v>1562.2</v>
      </c>
      <c r="G24" s="13">
        <v>1997.6000000000001</v>
      </c>
      <c r="H24" s="13">
        <f>H20</f>
        <v>3523.0000000000005</v>
      </c>
      <c r="I24" s="479"/>
      <c r="J24" s="480"/>
      <c r="K24" s="479">
        <f t="shared" si="0"/>
        <v>1.7636163396075291</v>
      </c>
      <c r="L24" s="480"/>
      <c r="O24" s="97"/>
      <c r="P24" s="97"/>
      <c r="Q24" s="32"/>
      <c r="R24" s="32"/>
      <c r="S24" s="136"/>
      <c r="T24" s="136"/>
    </row>
    <row r="25" spans="1:20" s="3" customFormat="1">
      <c r="A25" s="8" t="s">
        <v>194</v>
      </c>
      <c r="B25" s="154">
        <f>B21+4.9</f>
        <v>333.9</v>
      </c>
      <c r="C25" s="166">
        <f>'[37]5. Інша інформація'!C28</f>
        <v>491.59999999999991</v>
      </c>
      <c r="D25" s="166">
        <f>D21+8.4</f>
        <v>321</v>
      </c>
      <c r="E25" s="166">
        <f>'[39]5. Інша інформація'!C28</f>
        <v>400.8</v>
      </c>
      <c r="F25" s="166">
        <f>'[41]5. Інша інформація'!C28</f>
        <v>672.80000000000007</v>
      </c>
      <c r="G25" s="13">
        <v>1258.3</v>
      </c>
      <c r="H25" s="13">
        <f>H21</f>
        <v>1979.2</v>
      </c>
      <c r="I25" s="479"/>
      <c r="J25" s="480"/>
      <c r="K25" s="479">
        <f t="shared" si="0"/>
        <v>1.5729158388301678</v>
      </c>
      <c r="L25" s="480"/>
      <c r="O25" s="97"/>
      <c r="P25" s="97"/>
      <c r="Q25" s="32"/>
      <c r="R25" s="32"/>
      <c r="S25" s="136"/>
      <c r="T25" s="136"/>
    </row>
    <row r="26" spans="1:20" s="3" customFormat="1" ht="37.5">
      <c r="A26" s="10" t="s">
        <v>221</v>
      </c>
      <c r="B26" s="181">
        <f>ROUND(B18/B11/12*1000,0)</f>
        <v>5381</v>
      </c>
      <c r="C26" s="181">
        <f>'[37]5. Інша інформація'!C29</f>
        <v>6336</v>
      </c>
      <c r="D26" s="181">
        <f>ROUND(D18/D11/12*1000,0)</f>
        <v>6869</v>
      </c>
      <c r="E26" s="181">
        <f>'[39]5. Інша інформація'!C29</f>
        <v>8302</v>
      </c>
      <c r="F26" s="181">
        <f>'[40]5. Інша інформація'!G26</f>
        <v>10076</v>
      </c>
      <c r="G26" s="76">
        <v>11787</v>
      </c>
      <c r="H26" s="76">
        <f>ROUND(H18/H11/12*1000,0)</f>
        <v>14273</v>
      </c>
      <c r="I26" s="479"/>
      <c r="J26" s="480"/>
      <c r="K26" s="479">
        <f t="shared" si="0"/>
        <v>1.2109103249342497</v>
      </c>
      <c r="L26" s="480"/>
      <c r="O26" s="97"/>
      <c r="P26" s="97"/>
      <c r="Q26" s="32"/>
      <c r="R26" s="32"/>
      <c r="S26" s="136"/>
      <c r="T26" s="136"/>
    </row>
    <row r="27" spans="1:20" s="3" customFormat="1">
      <c r="A27" s="8" t="s">
        <v>193</v>
      </c>
      <c r="B27" s="182">
        <f>ROUND(B19/12*1000,0)</f>
        <v>7158</v>
      </c>
      <c r="C27" s="182">
        <f>'[37]5. Інша інформація'!C30</f>
        <v>11500</v>
      </c>
      <c r="D27" s="182">
        <f>ROUND(D19/12*1000,0)</f>
        <v>14725</v>
      </c>
      <c r="E27" s="182">
        <f>'[39]5. Інша інформація'!C30</f>
        <v>17475</v>
      </c>
      <c r="F27" s="182">
        <f>'[41]5. Інша інформація'!C30</f>
        <v>21317</v>
      </c>
      <c r="G27" s="368">
        <v>23350</v>
      </c>
      <c r="H27" s="368">
        <f>ROUND(H19/12*1000,0)</f>
        <v>41050</v>
      </c>
      <c r="I27" s="479"/>
      <c r="J27" s="480"/>
      <c r="K27" s="479">
        <f t="shared" si="0"/>
        <v>1.7580299785867237</v>
      </c>
      <c r="L27" s="480"/>
      <c r="O27" s="97"/>
      <c r="P27" s="97"/>
      <c r="Q27" s="32"/>
      <c r="R27" s="32"/>
      <c r="S27" s="136"/>
      <c r="T27" s="136"/>
    </row>
    <row r="28" spans="1:20" s="3" customFormat="1">
      <c r="A28" s="8" t="s">
        <v>203</v>
      </c>
      <c r="B28" s="182">
        <f>ROUND(B20/(B13+B14+B12-1)/12*1000,0)</f>
        <v>8152</v>
      </c>
      <c r="C28" s="182">
        <f>'[37]5. Інша інформація'!C31</f>
        <v>8228</v>
      </c>
      <c r="D28" s="75">
        <f>ROUND(D20/(D11-1-D16)/12*1000,0)</f>
        <v>7478</v>
      </c>
      <c r="E28" s="182">
        <f>'[39]5. Інша інформація'!C31</f>
        <v>8246</v>
      </c>
      <c r="F28" s="182">
        <f>'[41]5. Інша інформація'!C31</f>
        <v>16231</v>
      </c>
      <c r="G28" s="368">
        <v>11890</v>
      </c>
      <c r="H28" s="368">
        <f>ROUND(H20/(H11-1-H16)/12*1000,0)</f>
        <v>12764</v>
      </c>
      <c r="I28" s="479"/>
      <c r="J28" s="480"/>
      <c r="K28" s="479">
        <f t="shared" si="0"/>
        <v>1.0735071488645922</v>
      </c>
      <c r="L28" s="480"/>
      <c r="O28" s="97"/>
      <c r="P28" s="97"/>
      <c r="Q28" s="32"/>
      <c r="R28" s="32"/>
      <c r="S28" s="136"/>
      <c r="T28" s="136"/>
    </row>
    <row r="29" spans="1:20" s="3" customFormat="1" ht="20.100000000000001" customHeight="1">
      <c r="A29" s="8" t="s">
        <v>194</v>
      </c>
      <c r="B29" s="182">
        <f>ROUND(B21/B16/12*1000,0)</f>
        <v>3427</v>
      </c>
      <c r="C29" s="182">
        <f>'[37]5. Інша інформація'!C32</f>
        <v>4501</v>
      </c>
      <c r="D29" s="75">
        <f>ROUND(D21/D16/12*1000,0)</f>
        <v>4342</v>
      </c>
      <c r="E29" s="182">
        <f>'[39]5. Інша інформація'!C32</f>
        <v>6625</v>
      </c>
      <c r="F29" s="182">
        <f>'[41]5. Інша інформація'!C32</f>
        <v>7710</v>
      </c>
      <c r="G29" s="368">
        <v>10486</v>
      </c>
      <c r="H29" s="368">
        <f>ROUND(H21/H16/12*1000,0)</f>
        <v>14994</v>
      </c>
      <c r="I29" s="479"/>
      <c r="J29" s="480"/>
      <c r="K29" s="479">
        <f t="shared" si="0"/>
        <v>1.4299065420560748</v>
      </c>
      <c r="L29" s="480"/>
      <c r="O29" s="97"/>
      <c r="P29" s="97"/>
      <c r="Q29" s="32"/>
      <c r="R29" s="32"/>
      <c r="S29" s="136"/>
      <c r="T29" s="136"/>
    </row>
    <row r="30" spans="1:20" s="3" customFormat="1" ht="37.5">
      <c r="A30" s="10" t="s">
        <v>222</v>
      </c>
      <c r="B30" s="181">
        <f>ROUND(B22/B11/12*1000,0)</f>
        <v>5616</v>
      </c>
      <c r="C30" s="181">
        <f>'[37]5. Інша інформація'!C33</f>
        <v>6373</v>
      </c>
      <c r="D30" s="181">
        <f>ROUND(D22/D11/12*1000,0)</f>
        <v>7066</v>
      </c>
      <c r="E30" s="181">
        <f>'[39]5. Інша інформація'!C33</f>
        <v>8391</v>
      </c>
      <c r="F30" s="181">
        <f>'[40]5. Інша інформація'!G30</f>
        <v>10076</v>
      </c>
      <c r="G30" s="76">
        <v>11787</v>
      </c>
      <c r="H30" s="76">
        <f>ROUND(H22/H11/12*1000,0)</f>
        <v>14273</v>
      </c>
      <c r="I30" s="479"/>
      <c r="J30" s="480"/>
      <c r="K30" s="479">
        <f t="shared" si="0"/>
        <v>1.2109103249342497</v>
      </c>
      <c r="L30" s="480"/>
      <c r="O30" s="97"/>
      <c r="P30" s="97"/>
      <c r="Q30" s="32"/>
      <c r="R30" s="32"/>
      <c r="S30" s="136"/>
      <c r="T30" s="136"/>
    </row>
    <row r="31" spans="1:20" s="3" customFormat="1" ht="20.100000000000001" customHeight="1">
      <c r="A31" s="8" t="s">
        <v>193</v>
      </c>
      <c r="B31" s="182">
        <f>ROUND(B23/12*1000,0)</f>
        <v>7217</v>
      </c>
      <c r="C31" s="182">
        <f>'[37]5. Інша інформація'!C34</f>
        <v>11500</v>
      </c>
      <c r="D31" s="182">
        <f>ROUND(D23/12*1000,0)</f>
        <v>15533</v>
      </c>
      <c r="E31" s="182">
        <f>'[39]5. Інша інформація'!C34</f>
        <v>18200</v>
      </c>
      <c r="F31" s="182">
        <f>'[41]5. Інша інформація'!C34</f>
        <v>21317</v>
      </c>
      <c r="G31" s="368">
        <v>23350</v>
      </c>
      <c r="H31" s="368">
        <f>ROUND(H23/12*1000,0)</f>
        <v>41050</v>
      </c>
      <c r="I31" s="479"/>
      <c r="J31" s="480"/>
      <c r="K31" s="479">
        <f>H31/G31</f>
        <v>1.7580299785867237</v>
      </c>
      <c r="L31" s="480"/>
      <c r="O31" s="97"/>
      <c r="P31" s="97"/>
      <c r="Q31" s="32"/>
      <c r="R31" s="32"/>
      <c r="S31" s="136"/>
      <c r="T31" s="136"/>
    </row>
    <row r="32" spans="1:20" s="3" customFormat="1">
      <c r="A32" s="8" t="s">
        <v>203</v>
      </c>
      <c r="B32" s="182">
        <f>ROUND(B24/(B13+B14+B12-1)/12*1000,0)</f>
        <v>8717</v>
      </c>
      <c r="C32" s="182">
        <f>'[37]5. Інша інформація'!C35</f>
        <v>8251</v>
      </c>
      <c r="D32" s="75">
        <f>ROUND(D24/(D11-1-D16)/12*1000,0)</f>
        <v>7665</v>
      </c>
      <c r="E32" s="182">
        <f>'[39]5. Інша інформація'!C35</f>
        <v>8301</v>
      </c>
      <c r="F32" s="182">
        <f>'[41]5. Інша інформація'!C35</f>
        <v>16273</v>
      </c>
      <c r="G32" s="368">
        <v>11890</v>
      </c>
      <c r="H32" s="368">
        <f>ROUND(H24/(H11-1-H16)/12*1000,0)</f>
        <v>12764</v>
      </c>
      <c r="I32" s="479"/>
      <c r="J32" s="480"/>
      <c r="K32" s="479">
        <f t="shared" si="0"/>
        <v>1.0735071488645922</v>
      </c>
      <c r="L32" s="480"/>
      <c r="O32" s="97"/>
      <c r="P32" s="97"/>
      <c r="Q32" s="32"/>
      <c r="R32" s="32"/>
      <c r="S32" s="136"/>
      <c r="T32" s="136"/>
    </row>
    <row r="33" spans="1:23" s="3" customFormat="1" ht="20.100000000000001" customHeight="1">
      <c r="A33" s="8" t="s">
        <v>194</v>
      </c>
      <c r="B33" s="182">
        <f>ROUND(B25/B16/12*1000,0)</f>
        <v>3478</v>
      </c>
      <c r="C33" s="182">
        <f>'[37]5. Інша інформація'!C36</f>
        <v>4552</v>
      </c>
      <c r="D33" s="75">
        <f>ROUND(D25/D16/12*1000,0)</f>
        <v>4458</v>
      </c>
      <c r="E33" s="182">
        <f>'[39]5. Інша інформація'!C36</f>
        <v>6680</v>
      </c>
      <c r="F33" s="182">
        <f>'[41]5. Інша інформація'!C36</f>
        <v>8010</v>
      </c>
      <c r="G33" s="368">
        <v>10486</v>
      </c>
      <c r="H33" s="368">
        <f>ROUND(H25/H16/12*1000,0)</f>
        <v>14994</v>
      </c>
      <c r="I33" s="479"/>
      <c r="J33" s="480"/>
      <c r="K33" s="479">
        <f t="shared" si="0"/>
        <v>1.4299065420560748</v>
      </c>
      <c r="L33" s="480"/>
      <c r="O33" s="97"/>
      <c r="P33" s="97"/>
      <c r="Q33" s="32"/>
      <c r="R33" s="32"/>
      <c r="S33" s="136"/>
      <c r="T33" s="136"/>
    </row>
    <row r="34" spans="1:23" ht="16.5" customHeight="1">
      <c r="A34" s="23"/>
      <c r="B34" s="183"/>
      <c r="C34" s="183"/>
      <c r="D34" s="183"/>
      <c r="E34" s="183"/>
      <c r="F34" s="183"/>
      <c r="G34" s="23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</row>
    <row r="35" spans="1:23" ht="21.95" customHeight="1">
      <c r="A35" s="36" t="s">
        <v>262</v>
      </c>
      <c r="B35" s="184"/>
      <c r="C35" s="184"/>
      <c r="D35" s="184"/>
      <c r="E35" s="184"/>
      <c r="F35" s="184"/>
      <c r="G35" s="36"/>
      <c r="H35" s="36"/>
      <c r="I35" s="36"/>
      <c r="J35" s="36"/>
      <c r="K35" s="315"/>
      <c r="L35" s="315"/>
      <c r="M35" s="36"/>
      <c r="N35" s="36"/>
    </row>
    <row r="36" spans="1:23" ht="20.100000000000001" customHeight="1">
      <c r="A36" s="20"/>
    </row>
    <row r="37" spans="1:23" ht="37.5" customHeight="1">
      <c r="A37" s="430" t="s">
        <v>195</v>
      </c>
      <c r="B37" s="449" t="s">
        <v>223</v>
      </c>
      <c r="C37" s="450"/>
      <c r="D37" s="450"/>
      <c r="E37" s="450"/>
      <c r="F37" s="450"/>
      <c r="G37" s="450"/>
      <c r="H37" s="498"/>
      <c r="I37" s="431" t="str">
        <f>D38</f>
        <v xml:space="preserve">Факт 2017 року </v>
      </c>
      <c r="J37" s="499"/>
      <c r="K37" s="431" t="str">
        <f>E9</f>
        <v xml:space="preserve">Факт 2018 року </v>
      </c>
      <c r="L37" s="499"/>
      <c r="M37" s="454" t="str">
        <f>F38</f>
        <v xml:space="preserve">Факт 2019 року </v>
      </c>
      <c r="N37" s="456"/>
      <c r="O37" s="454" t="str">
        <f>G9</f>
        <v>Фінансовий план 2020 року</v>
      </c>
      <c r="P37" s="456"/>
      <c r="Q37" s="454" t="str">
        <f>H38</f>
        <v>Плановий 2020 рік  (зі змінами)</v>
      </c>
      <c r="R37" s="499"/>
      <c r="S37" s="48"/>
      <c r="T37" s="48"/>
    </row>
    <row r="38" spans="1:23" ht="168.75">
      <c r="A38" s="430"/>
      <c r="B38" s="171" t="s">
        <v>327</v>
      </c>
      <c r="C38" s="197" t="s">
        <v>338</v>
      </c>
      <c r="D38" s="248" t="str">
        <f>D9</f>
        <v xml:space="preserve">Факт 2017 року </v>
      </c>
      <c r="E38" s="248" t="str">
        <f>E9</f>
        <v xml:space="preserve">Факт 2018 року </v>
      </c>
      <c r="F38" s="248" t="str">
        <f>F9</f>
        <v xml:space="preserve">Факт 2019 року </v>
      </c>
      <c r="G38" s="248" t="str">
        <f>G9</f>
        <v>Фінансовий план 2020 року</v>
      </c>
      <c r="H38" s="202" t="str">
        <f>H9</f>
        <v>Плановий 2020 рік  (зі змінами)</v>
      </c>
      <c r="I38" s="7" t="s">
        <v>224</v>
      </c>
      <c r="J38" s="7" t="s">
        <v>225</v>
      </c>
      <c r="K38" s="316" t="s">
        <v>224</v>
      </c>
      <c r="L38" s="316" t="s">
        <v>225</v>
      </c>
      <c r="M38" s="7" t="s">
        <v>224</v>
      </c>
      <c r="N38" s="212" t="s">
        <v>225</v>
      </c>
      <c r="O38" s="7" t="s">
        <v>224</v>
      </c>
      <c r="P38" s="212" t="s">
        <v>225</v>
      </c>
      <c r="Q38" s="7" t="s">
        <v>224</v>
      </c>
      <c r="R38" s="212" t="s">
        <v>225</v>
      </c>
      <c r="S38" s="48"/>
      <c r="T38" s="48"/>
    </row>
    <row r="39" spans="1:23" ht="18" customHeight="1">
      <c r="A39" s="7">
        <v>1</v>
      </c>
      <c r="B39" s="171"/>
      <c r="C39" s="197">
        <v>2</v>
      </c>
      <c r="D39" s="248">
        <v>2</v>
      </c>
      <c r="E39" s="248">
        <v>2</v>
      </c>
      <c r="F39" s="248">
        <v>3</v>
      </c>
      <c r="G39" s="248">
        <v>4</v>
      </c>
      <c r="H39" s="211">
        <v>5</v>
      </c>
      <c r="I39" s="211">
        <v>6</v>
      </c>
      <c r="J39" s="211">
        <v>7</v>
      </c>
      <c r="K39" s="248">
        <v>6</v>
      </c>
      <c r="L39" s="248">
        <v>7</v>
      </c>
      <c r="M39" s="7">
        <v>8</v>
      </c>
      <c r="N39" s="211">
        <v>9</v>
      </c>
      <c r="O39" s="248">
        <v>10</v>
      </c>
      <c r="P39" s="248">
        <v>11</v>
      </c>
      <c r="Q39" s="211">
        <v>12</v>
      </c>
      <c r="R39" s="7">
        <v>13</v>
      </c>
      <c r="S39" s="25"/>
      <c r="T39" s="25"/>
    </row>
    <row r="40" spans="1:23" ht="37.5" hidden="1" customHeight="1" outlineLevel="1">
      <c r="A40" s="264">
        <f>'1.Фінансовий результат'!A15</f>
        <v>0</v>
      </c>
      <c r="B40" s="186" t="e">
        <f>#REF!*$B$43/#REF!</f>
        <v>#REF!</v>
      </c>
      <c r="C40" s="186" t="e">
        <f>#REF!*$B$43/#REF!</f>
        <v>#REF!</v>
      </c>
      <c r="D40" s="186"/>
      <c r="E40" s="186"/>
      <c r="F40" s="186"/>
      <c r="G40" s="186"/>
      <c r="H40" s="186">
        <f>'1.Фінансовий результат'!J15/1.2/'1.Фінансовий результат'!J18</f>
        <v>0</v>
      </c>
      <c r="I40" s="7"/>
      <c r="J40" s="7"/>
      <c r="K40" s="316"/>
      <c r="L40" s="316"/>
      <c r="M40" s="7"/>
      <c r="N40" s="7"/>
      <c r="O40" s="7"/>
      <c r="P40" s="7"/>
      <c r="Q40" s="13">
        <f>'1.Фінансовий результат'!J15/1.2</f>
        <v>0</v>
      </c>
      <c r="R40" s="7"/>
      <c r="S40" s="25"/>
      <c r="T40" s="25"/>
    </row>
    <row r="41" spans="1:23" ht="37.5" collapsed="1">
      <c r="A41" s="8" t="s">
        <v>352</v>
      </c>
      <c r="B41" s="186">
        <f>'1.Фінансовий результат'!C13/1.2/'1.Фінансовий результат'!C18</f>
        <v>0.72240234676547799</v>
      </c>
      <c r="C41" s="186">
        <f>'1.Фінансовий результат'!D14/1.2/'1.Фінансовий результат'!D18</f>
        <v>0.80289429085901909</v>
      </c>
      <c r="D41" s="186">
        <f>'1.Фінансовий результат'!E13/'1.Фінансовий результат'!E10</f>
        <v>0.91042117436394832</v>
      </c>
      <c r="E41" s="186">
        <f>K41/K43</f>
        <v>0.89268107026845234</v>
      </c>
      <c r="F41" s="186">
        <f>M41/M43</f>
        <v>0.88631146550682616</v>
      </c>
      <c r="G41" s="186">
        <f>O41/O43</f>
        <v>0.92409255488998476</v>
      </c>
      <c r="H41" s="186">
        <f>Q41/Q43</f>
        <v>0.96589994679875069</v>
      </c>
      <c r="I41" s="137">
        <f>'1.Фінансовий результат'!E14/1.2</f>
        <v>8134.916666666667</v>
      </c>
      <c r="J41" s="137" t="s">
        <v>356</v>
      </c>
      <c r="K41" s="137">
        <f>'[39]5. Інша інформація'!D45</f>
        <v>8404.6666666666679</v>
      </c>
      <c r="L41" s="137" t="s">
        <v>385</v>
      </c>
      <c r="M41" s="13">
        <f>'1.Фінансовий результат'!H14/1.2</f>
        <v>9781.3333333333339</v>
      </c>
      <c r="N41" s="75" t="s">
        <v>386</v>
      </c>
      <c r="O41" s="13">
        <f>'1.Фінансовий результат'!I14/1.2</f>
        <v>15704.583333333334</v>
      </c>
      <c r="P41" s="75" t="s">
        <v>357</v>
      </c>
      <c r="Q41" s="13">
        <f>'1.Фінансовий результат'!J14/1.2</f>
        <v>15704.583333333334</v>
      </c>
      <c r="R41" s="75" t="s">
        <v>358</v>
      </c>
      <c r="S41" s="97"/>
      <c r="T41" s="97"/>
    </row>
    <row r="42" spans="1:23" ht="24" customHeight="1">
      <c r="A42" s="8" t="s">
        <v>353</v>
      </c>
      <c r="B42" s="186">
        <f>B43-B41</f>
        <v>0.27759765323452201</v>
      </c>
      <c r="C42" s="186">
        <f>C43-C41</f>
        <v>0.19710570914098091</v>
      </c>
      <c r="D42" s="186">
        <f>D43-D41</f>
        <v>8.9578825636051684E-2</v>
      </c>
      <c r="E42" s="186">
        <f>K42/K43</f>
        <v>0.10731892973154779</v>
      </c>
      <c r="F42" s="186">
        <f>M42/M43</f>
        <v>0.11368853449317386</v>
      </c>
      <c r="G42" s="186">
        <f>O42/O43</f>
        <v>7.5907445110015223E-2</v>
      </c>
      <c r="H42" s="186">
        <f>Q42/Q43</f>
        <v>3.4100053201249307E-2</v>
      </c>
      <c r="I42" s="13">
        <f>I43-I41</f>
        <v>672.78333333333194</v>
      </c>
      <c r="J42" s="75"/>
      <c r="K42" s="137">
        <f>'[39]5. Інша інформація'!D46</f>
        <v>1010.4166666666667</v>
      </c>
      <c r="L42" s="137">
        <f>'[39]5. Інша інформація'!E46</f>
        <v>0</v>
      </c>
      <c r="M42" s="13">
        <f>'1.Фінансовий результат'!H11/1.2</f>
        <v>1254.6666666666667</v>
      </c>
      <c r="N42" s="75"/>
      <c r="O42" s="13">
        <f>O43-O41</f>
        <v>1290.0166666666646</v>
      </c>
      <c r="P42" s="75"/>
      <c r="Q42" s="13">
        <f>Q43-Q41-Q40</f>
        <v>554.43333333333248</v>
      </c>
      <c r="R42" s="75"/>
      <c r="S42" s="97"/>
      <c r="T42" s="97"/>
    </row>
    <row r="43" spans="1:23" ht="27" customHeight="1">
      <c r="A43" s="8" t="s">
        <v>43</v>
      </c>
      <c r="B43" s="186">
        <v>1</v>
      </c>
      <c r="C43" s="186">
        <v>1</v>
      </c>
      <c r="D43" s="186">
        <v>1</v>
      </c>
      <c r="E43" s="186">
        <v>1</v>
      </c>
      <c r="F43" s="186">
        <v>1</v>
      </c>
      <c r="G43" s="186">
        <v>1</v>
      </c>
      <c r="H43" s="186">
        <v>1</v>
      </c>
      <c r="I43" s="137">
        <f>'1.Фінансовий результат'!E18</f>
        <v>8807.6999999999989</v>
      </c>
      <c r="J43" s="75"/>
      <c r="K43" s="137">
        <f>'[39]5. Інша інформація'!D47</f>
        <v>9415.0833333333339</v>
      </c>
      <c r="L43" s="137">
        <f>'[39]5. Інша інформація'!E47</f>
        <v>0</v>
      </c>
      <c r="M43" s="13">
        <f>M41+M42</f>
        <v>11036</v>
      </c>
      <c r="N43" s="75"/>
      <c r="O43" s="13">
        <f>'1.Фінансовий результат'!I18</f>
        <v>16994.599999999999</v>
      </c>
      <c r="P43" s="75"/>
      <c r="Q43" s="13">
        <f>'1.Фінансовий результат'!J18</f>
        <v>16259.016666666666</v>
      </c>
      <c r="R43" s="75"/>
      <c r="S43" s="97"/>
      <c r="T43" s="97"/>
    </row>
    <row r="44" spans="1:23" ht="12.75" customHeight="1">
      <c r="A44" s="21"/>
      <c r="B44" s="187"/>
      <c r="C44" s="187"/>
      <c r="D44" s="187"/>
      <c r="E44" s="187"/>
      <c r="F44" s="187"/>
      <c r="G44" s="22"/>
      <c r="H44" s="22"/>
      <c r="I44" s="22"/>
      <c r="J44" s="14"/>
      <c r="K44" s="311"/>
      <c r="L44" s="311"/>
      <c r="M44" s="14"/>
      <c r="N44" s="5"/>
      <c r="O44" s="5"/>
      <c r="P44" s="5"/>
      <c r="Q44" s="5"/>
      <c r="R44" s="5"/>
      <c r="S44" s="5"/>
    </row>
    <row r="45" spans="1:23" ht="21.95" customHeight="1">
      <c r="A45" s="5" t="s">
        <v>242</v>
      </c>
      <c r="B45" s="175"/>
      <c r="C45" s="175"/>
      <c r="D45" s="175"/>
      <c r="E45" s="175"/>
      <c r="F45" s="17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W45" s="2">
        <v>8</v>
      </c>
    </row>
    <row r="46" spans="1:23" ht="11.25" customHeight="1">
      <c r="A46" s="20"/>
    </row>
    <row r="47" spans="1:23" ht="56.25">
      <c r="A47" s="7" t="s">
        <v>109</v>
      </c>
      <c r="B47" s="269"/>
      <c r="C47" s="269"/>
      <c r="D47" s="449" t="s">
        <v>57</v>
      </c>
      <c r="E47" s="450"/>
      <c r="F47" s="450"/>
      <c r="G47" s="7" t="s">
        <v>316</v>
      </c>
      <c r="H47" s="7" t="s">
        <v>317</v>
      </c>
      <c r="I47" s="7"/>
      <c r="J47" s="7"/>
      <c r="K47" s="316" t="s">
        <v>318</v>
      </c>
      <c r="L47" s="316" t="s">
        <v>319</v>
      </c>
      <c r="M47" s="430" t="s">
        <v>22</v>
      </c>
      <c r="N47" s="500"/>
      <c r="O47" s="500"/>
      <c r="P47" s="48"/>
      <c r="Q47" s="48"/>
      <c r="R47" s="48"/>
      <c r="S47" s="48"/>
    </row>
    <row r="48" spans="1:23" ht="18" customHeight="1">
      <c r="A48" s="6">
        <v>1</v>
      </c>
      <c r="B48" s="274"/>
      <c r="C48" s="274"/>
      <c r="D48" s="449">
        <v>2</v>
      </c>
      <c r="E48" s="450"/>
      <c r="F48" s="450"/>
      <c r="G48" s="6">
        <v>3</v>
      </c>
      <c r="H48" s="6">
        <v>4</v>
      </c>
      <c r="I48" s="6"/>
      <c r="J48" s="81"/>
      <c r="K48" s="317">
        <v>5</v>
      </c>
      <c r="L48" s="81">
        <v>6</v>
      </c>
      <c r="M48" s="430">
        <v>7</v>
      </c>
      <c r="N48" s="500"/>
      <c r="O48" s="501"/>
      <c r="P48" s="25"/>
      <c r="Q48" s="25"/>
      <c r="R48" s="25"/>
      <c r="S48" s="25"/>
    </row>
    <row r="49" spans="1:30" ht="20.100000000000001" customHeight="1">
      <c r="A49" s="8" t="s">
        <v>43</v>
      </c>
      <c r="B49" s="141"/>
      <c r="C49" s="141"/>
      <c r="D49" s="449" t="s">
        <v>23</v>
      </c>
      <c r="E49" s="450"/>
      <c r="F49" s="450"/>
      <c r="G49" s="7"/>
      <c r="H49" s="7" t="s">
        <v>23</v>
      </c>
      <c r="I49" s="7"/>
      <c r="J49" s="7"/>
      <c r="K49" s="316" t="s">
        <v>23</v>
      </c>
      <c r="L49" s="316"/>
      <c r="M49" s="430" t="s">
        <v>23</v>
      </c>
      <c r="N49" s="500"/>
      <c r="O49" s="500"/>
      <c r="P49" s="97"/>
      <c r="Q49" s="97"/>
      <c r="R49" s="97"/>
      <c r="S49" s="97"/>
    </row>
    <row r="50" spans="1:30" ht="12.75" customHeight="1">
      <c r="A50" s="14"/>
      <c r="B50" s="155"/>
      <c r="C50" s="155"/>
      <c r="D50" s="155"/>
      <c r="E50" s="155"/>
      <c r="F50" s="155"/>
      <c r="G50" s="25"/>
      <c r="H50" s="25"/>
      <c r="I50" s="25"/>
      <c r="J50" s="25"/>
      <c r="K50" s="309"/>
      <c r="L50" s="309"/>
      <c r="M50" s="25"/>
      <c r="N50" s="25"/>
      <c r="O50" s="3"/>
      <c r="P50" s="3"/>
      <c r="Q50" s="3"/>
      <c r="R50" s="3"/>
      <c r="S50" s="3"/>
    </row>
    <row r="51" spans="1:30">
      <c r="A51" s="5" t="s">
        <v>243</v>
      </c>
      <c r="B51" s="175"/>
      <c r="C51" s="175"/>
      <c r="D51" s="175"/>
      <c r="E51" s="175"/>
      <c r="F51" s="17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1:30" ht="20.100000000000001" customHeight="1">
      <c r="A52" s="5"/>
      <c r="B52" s="188"/>
      <c r="C52" s="188"/>
      <c r="D52" s="188"/>
      <c r="E52" s="188"/>
      <c r="F52" s="188"/>
      <c r="G52" s="5"/>
      <c r="H52" s="5"/>
      <c r="I52" s="5"/>
      <c r="J52" s="5"/>
      <c r="K52" s="5"/>
      <c r="L52" s="5"/>
      <c r="M52" s="5"/>
    </row>
    <row r="53" spans="1:30" ht="37.5" customHeight="1">
      <c r="A53" s="7" t="s">
        <v>53</v>
      </c>
      <c r="B53" s="269"/>
      <c r="C53" s="269"/>
      <c r="D53" s="449" t="s">
        <v>245</v>
      </c>
      <c r="E53" s="450"/>
      <c r="F53" s="450"/>
      <c r="G53" s="488" t="s">
        <v>234</v>
      </c>
      <c r="H53" s="489"/>
      <c r="I53" s="454" t="s">
        <v>233</v>
      </c>
      <c r="J53" s="455"/>
      <c r="K53" s="455"/>
      <c r="L53" s="455"/>
      <c r="M53" s="455"/>
      <c r="N53" s="456"/>
      <c r="O53" s="430" t="s">
        <v>71</v>
      </c>
      <c r="P53" s="430"/>
      <c r="Q53" s="430"/>
      <c r="R53" s="430"/>
      <c r="S53" s="48"/>
      <c r="T53" s="48"/>
      <c r="U53" s="48"/>
    </row>
    <row r="54" spans="1:30" ht="18" customHeight="1">
      <c r="A54" s="7">
        <v>1</v>
      </c>
      <c r="B54" s="269"/>
      <c r="C54" s="269"/>
      <c r="D54" s="449">
        <v>2</v>
      </c>
      <c r="E54" s="450"/>
      <c r="F54" s="450"/>
      <c r="G54" s="431">
        <v>3</v>
      </c>
      <c r="H54" s="491"/>
      <c r="I54" s="454">
        <v>4</v>
      </c>
      <c r="J54" s="455"/>
      <c r="K54" s="455"/>
      <c r="L54" s="455"/>
      <c r="M54" s="455"/>
      <c r="N54" s="456"/>
      <c r="O54" s="431">
        <v>5</v>
      </c>
      <c r="P54" s="432"/>
      <c r="Q54" s="432"/>
      <c r="R54" s="433"/>
      <c r="S54" s="25"/>
      <c r="T54" s="25"/>
      <c r="U54" s="25"/>
    </row>
    <row r="55" spans="1:30">
      <c r="A55" s="8" t="s">
        <v>226</v>
      </c>
      <c r="B55" s="141"/>
      <c r="C55" s="141"/>
      <c r="D55" s="461"/>
      <c r="E55" s="462"/>
      <c r="F55" s="462"/>
      <c r="G55" s="141"/>
      <c r="H55" s="82"/>
      <c r="I55" s="141"/>
      <c r="J55" s="82"/>
      <c r="K55" s="318"/>
      <c r="L55" s="318"/>
      <c r="M55" s="143"/>
      <c r="N55" s="82"/>
      <c r="O55" s="431"/>
      <c r="P55" s="432"/>
      <c r="Q55" s="432"/>
      <c r="R55" s="433"/>
      <c r="S55" s="97"/>
      <c r="T55" s="97"/>
      <c r="U55" s="97"/>
    </row>
    <row r="56" spans="1:30" ht="20.100000000000001" customHeight="1">
      <c r="A56" s="8" t="s">
        <v>85</v>
      </c>
      <c r="B56" s="141"/>
      <c r="C56" s="141"/>
      <c r="D56" s="461"/>
      <c r="E56" s="462"/>
      <c r="F56" s="462"/>
      <c r="G56" s="141"/>
      <c r="H56" s="82"/>
      <c r="I56" s="141"/>
      <c r="J56" s="82"/>
      <c r="K56" s="318"/>
      <c r="L56" s="318"/>
      <c r="M56" s="143"/>
      <c r="N56" s="82"/>
      <c r="O56" s="431"/>
      <c r="P56" s="432"/>
      <c r="Q56" s="432"/>
      <c r="R56" s="433"/>
      <c r="S56" s="97"/>
      <c r="T56" s="97"/>
      <c r="U56" s="97"/>
    </row>
    <row r="57" spans="1:30">
      <c r="A57" s="8" t="s">
        <v>227</v>
      </c>
      <c r="B57" s="141"/>
      <c r="C57" s="141"/>
      <c r="D57" s="461"/>
      <c r="E57" s="462"/>
      <c r="F57" s="462"/>
      <c r="G57" s="141"/>
      <c r="H57" s="82"/>
      <c r="I57" s="141"/>
      <c r="J57" s="82"/>
      <c r="K57" s="318"/>
      <c r="L57" s="318"/>
      <c r="M57" s="143"/>
      <c r="N57" s="82"/>
      <c r="O57" s="431"/>
      <c r="P57" s="432"/>
      <c r="Q57" s="432"/>
      <c r="R57" s="433"/>
      <c r="S57" s="97"/>
      <c r="T57" s="97"/>
      <c r="U57" s="97"/>
    </row>
    <row r="58" spans="1:30" ht="20.100000000000001" customHeight="1">
      <c r="A58" s="8" t="s">
        <v>86</v>
      </c>
      <c r="B58" s="141"/>
      <c r="C58" s="141"/>
      <c r="D58" s="461"/>
      <c r="E58" s="462"/>
      <c r="F58" s="462"/>
      <c r="G58" s="141"/>
      <c r="H58" s="82"/>
      <c r="I58" s="141"/>
      <c r="J58" s="82"/>
      <c r="K58" s="318"/>
      <c r="L58" s="318"/>
      <c r="M58" s="143"/>
      <c r="N58" s="82"/>
      <c r="O58" s="431"/>
      <c r="P58" s="432"/>
      <c r="Q58" s="432"/>
      <c r="R58" s="433"/>
      <c r="S58" s="97"/>
      <c r="T58" s="97"/>
      <c r="U58" s="97"/>
    </row>
    <row r="59" spans="1:30">
      <c r="A59" s="8" t="s">
        <v>228</v>
      </c>
      <c r="B59" s="141"/>
      <c r="C59" s="141"/>
      <c r="D59" s="461"/>
      <c r="E59" s="462"/>
      <c r="F59" s="462"/>
      <c r="G59" s="141"/>
      <c r="H59" s="82"/>
      <c r="I59" s="141"/>
      <c r="J59" s="82"/>
      <c r="K59" s="318"/>
      <c r="L59" s="318"/>
      <c r="M59" s="143"/>
      <c r="N59" s="82"/>
      <c r="O59" s="431"/>
      <c r="P59" s="432"/>
      <c r="Q59" s="432"/>
      <c r="R59" s="433"/>
      <c r="S59" s="97"/>
      <c r="T59" s="97"/>
      <c r="U59" s="97"/>
    </row>
    <row r="60" spans="1:30">
      <c r="A60" s="8" t="s">
        <v>85</v>
      </c>
      <c r="B60" s="141"/>
      <c r="C60" s="141"/>
      <c r="D60" s="461"/>
      <c r="E60" s="462"/>
      <c r="F60" s="462"/>
      <c r="G60" s="141"/>
      <c r="H60" s="82"/>
      <c r="I60" s="141"/>
      <c r="J60" s="82"/>
      <c r="K60" s="318"/>
      <c r="L60" s="318"/>
      <c r="M60" s="143"/>
      <c r="N60" s="82"/>
      <c r="O60" s="431"/>
      <c r="P60" s="432"/>
      <c r="Q60" s="432"/>
      <c r="R60" s="433"/>
      <c r="S60" s="97"/>
      <c r="T60" s="97"/>
      <c r="U60" s="97"/>
    </row>
    <row r="61" spans="1:30">
      <c r="A61" s="8" t="s">
        <v>43</v>
      </c>
      <c r="B61" s="141"/>
      <c r="C61" s="141"/>
      <c r="D61" s="461"/>
      <c r="E61" s="462"/>
      <c r="F61" s="462"/>
      <c r="G61" s="141"/>
      <c r="H61" s="142"/>
      <c r="I61" s="141"/>
      <c r="J61" s="142"/>
      <c r="K61" s="321"/>
      <c r="L61" s="321"/>
      <c r="M61" s="143"/>
      <c r="N61" s="142"/>
      <c r="O61" s="431"/>
      <c r="P61" s="432"/>
      <c r="Q61" s="432"/>
      <c r="R61" s="433"/>
      <c r="S61" s="97"/>
      <c r="T61" s="97"/>
      <c r="U61" s="97"/>
    </row>
    <row r="62" spans="1:30">
      <c r="G62" s="31"/>
      <c r="H62" s="31"/>
      <c r="I62" s="31"/>
    </row>
    <row r="63" spans="1:30">
      <c r="A63" s="464" t="s">
        <v>263</v>
      </c>
      <c r="B63" s="464"/>
      <c r="C63" s="464"/>
      <c r="D63" s="464"/>
      <c r="E63" s="464"/>
      <c r="F63" s="464"/>
      <c r="G63" s="464"/>
      <c r="H63" s="464"/>
      <c r="I63" s="464"/>
      <c r="J63" s="464"/>
      <c r="K63" s="464"/>
      <c r="L63" s="464"/>
      <c r="M63" s="464"/>
      <c r="N63" s="464"/>
      <c r="O63" s="464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</row>
    <row r="64" spans="1:30">
      <c r="A64" s="49"/>
      <c r="B64" s="189"/>
      <c r="C64" s="189"/>
      <c r="D64" s="189"/>
      <c r="E64" s="189"/>
      <c r="F64" s="189"/>
      <c r="G64" s="49"/>
      <c r="H64" s="49"/>
      <c r="I64" s="49"/>
      <c r="J64" s="52"/>
      <c r="K64" s="313"/>
      <c r="L64" s="313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</row>
    <row r="65" spans="1:30" ht="18.75" customHeight="1">
      <c r="A65" s="467" t="s">
        <v>38</v>
      </c>
      <c r="B65" s="275"/>
      <c r="C65" s="275"/>
      <c r="D65" s="482" t="s">
        <v>159</v>
      </c>
      <c r="E65" s="483"/>
      <c r="F65" s="483"/>
      <c r="G65" s="203" t="s">
        <v>160</v>
      </c>
      <c r="H65" s="437" t="s">
        <v>232</v>
      </c>
      <c r="I65" s="437"/>
      <c r="J65" s="322"/>
      <c r="K65" s="437" t="s">
        <v>161</v>
      </c>
      <c r="L65" s="431" t="s">
        <v>246</v>
      </c>
      <c r="M65" s="432"/>
      <c r="N65" s="432"/>
      <c r="O65" s="432"/>
      <c r="P65" s="433"/>
      <c r="Q65" s="52"/>
      <c r="R65" s="52"/>
      <c r="S65" s="48"/>
      <c r="T65" s="48"/>
      <c r="U65" s="25"/>
      <c r="V65" s="25"/>
      <c r="W65" s="25"/>
      <c r="X65" s="25"/>
      <c r="Y65" s="25"/>
      <c r="Z65" s="25"/>
      <c r="AA65" s="25"/>
      <c r="AB65" s="25"/>
      <c r="AC65" s="25"/>
      <c r="AD65" s="25"/>
    </row>
    <row r="66" spans="1:30" ht="18.75" customHeight="1">
      <c r="A66" s="469"/>
      <c r="B66" s="276"/>
      <c r="C66" s="276"/>
      <c r="D66" s="486"/>
      <c r="E66" s="487"/>
      <c r="F66" s="487"/>
      <c r="G66" s="212"/>
      <c r="H66" s="438"/>
      <c r="I66" s="438"/>
      <c r="J66" s="94"/>
      <c r="K66" s="438"/>
      <c r="L66" s="94" t="s">
        <v>162</v>
      </c>
      <c r="M66" s="212" t="s">
        <v>163</v>
      </c>
      <c r="N66" s="212" t="s">
        <v>27</v>
      </c>
      <c r="O66" s="212" t="s">
        <v>164</v>
      </c>
      <c r="P66" s="88" t="s">
        <v>165</v>
      </c>
      <c r="Q66" s="52"/>
      <c r="R66" s="52"/>
      <c r="S66" s="48"/>
      <c r="T66" s="48"/>
      <c r="U66" s="48"/>
      <c r="V66" s="48"/>
      <c r="W66" s="48"/>
      <c r="X66" s="48"/>
      <c r="Y66" s="48"/>
      <c r="Z66" s="25"/>
      <c r="AA66" s="25"/>
      <c r="AB66" s="25"/>
      <c r="AC66" s="25"/>
      <c r="AD66" s="25"/>
    </row>
    <row r="67" spans="1:30">
      <c r="A67" s="56">
        <v>1</v>
      </c>
      <c r="B67" s="277"/>
      <c r="C67" s="277"/>
      <c r="D67" s="459">
        <v>2</v>
      </c>
      <c r="E67" s="460"/>
      <c r="F67" s="460"/>
      <c r="G67" s="83">
        <v>3</v>
      </c>
      <c r="H67" s="83">
        <v>4</v>
      </c>
      <c r="I67" s="84"/>
      <c r="J67" s="83"/>
      <c r="K67" s="84">
        <v>5</v>
      </c>
      <c r="L67" s="83">
        <v>6</v>
      </c>
      <c r="M67" s="83">
        <v>7</v>
      </c>
      <c r="N67" s="83">
        <v>8</v>
      </c>
      <c r="O67" s="83">
        <v>9</v>
      </c>
      <c r="P67" s="87">
        <v>10</v>
      </c>
      <c r="Q67" s="98"/>
      <c r="R67" s="98"/>
      <c r="S67" s="98"/>
      <c r="T67" s="98"/>
      <c r="U67" s="98"/>
      <c r="V67" s="98"/>
      <c r="W67" s="98"/>
      <c r="X67" s="66"/>
      <c r="Y67" s="66"/>
      <c r="Z67" s="66"/>
      <c r="AA67" s="66"/>
      <c r="AB67" s="66"/>
      <c r="AC67" s="66"/>
      <c r="AD67" s="66"/>
    </row>
    <row r="68" spans="1:30">
      <c r="A68" s="56"/>
      <c r="B68" s="277"/>
      <c r="C68" s="277"/>
      <c r="D68" s="459"/>
      <c r="E68" s="460"/>
      <c r="F68" s="460"/>
      <c r="G68" s="83"/>
      <c r="H68" s="83"/>
      <c r="I68" s="121"/>
      <c r="J68" s="91"/>
      <c r="K68" s="121">
        <f>SUM(L68:R68)</f>
        <v>0</v>
      </c>
      <c r="L68" s="91"/>
      <c r="M68" s="91"/>
      <c r="N68" s="91"/>
      <c r="O68" s="91"/>
      <c r="P68" s="8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</row>
    <row r="69" spans="1:30">
      <c r="A69" s="56"/>
      <c r="B69" s="277"/>
      <c r="C69" s="277"/>
      <c r="D69" s="459"/>
      <c r="E69" s="460"/>
      <c r="F69" s="460"/>
      <c r="G69" s="83"/>
      <c r="H69" s="83"/>
      <c r="I69" s="121"/>
      <c r="J69" s="91"/>
      <c r="K69" s="121">
        <f>SUM(L69:R69)</f>
        <v>0</v>
      </c>
      <c r="L69" s="91"/>
      <c r="M69" s="91"/>
      <c r="N69" s="91"/>
      <c r="O69" s="91"/>
      <c r="P69" s="8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</row>
    <row r="70" spans="1:30">
      <c r="A70" s="92" t="s">
        <v>43</v>
      </c>
      <c r="B70" s="278"/>
      <c r="C70" s="278"/>
      <c r="D70" s="472"/>
      <c r="E70" s="473"/>
      <c r="F70" s="473"/>
      <c r="G70" s="16"/>
      <c r="H70" s="93"/>
      <c r="I70" s="122"/>
      <c r="J70" s="16"/>
      <c r="K70" s="122">
        <f>K68+K69</f>
        <v>0</v>
      </c>
      <c r="L70" s="320"/>
      <c r="M70" s="16"/>
      <c r="N70" s="16"/>
      <c r="O70" s="16"/>
      <c r="P70" s="85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</row>
    <row r="71" spans="1:30">
      <c r="A71" s="34"/>
      <c r="B71" s="190"/>
      <c r="C71" s="190"/>
      <c r="D71" s="190"/>
      <c r="E71" s="190"/>
      <c r="F71" s="190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  <c r="U71" s="50"/>
      <c r="V71" s="50"/>
      <c r="W71" s="50"/>
      <c r="X71" s="51"/>
      <c r="Y71" s="51"/>
      <c r="Z71" s="51"/>
      <c r="AA71" s="51"/>
      <c r="AB71" s="51"/>
      <c r="AC71" s="51"/>
      <c r="AD71" s="51"/>
    </row>
    <row r="72" spans="1:30">
      <c r="A72" s="464" t="s">
        <v>264</v>
      </c>
      <c r="B72" s="464"/>
      <c r="C72" s="464"/>
      <c r="D72" s="464"/>
      <c r="E72" s="464"/>
      <c r="F72" s="464"/>
      <c r="G72" s="464"/>
      <c r="H72" s="464"/>
      <c r="I72" s="464"/>
      <c r="J72" s="464"/>
      <c r="K72" s="464"/>
      <c r="L72" s="464"/>
      <c r="M72" s="464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>
      <c r="A73" s="36"/>
      <c r="B73" s="184"/>
      <c r="C73" s="184"/>
      <c r="D73" s="184"/>
      <c r="E73" s="184"/>
      <c r="F73" s="184"/>
      <c r="G73" s="36"/>
      <c r="H73" s="36"/>
      <c r="I73" s="36"/>
      <c r="J73" s="36"/>
      <c r="K73" s="315"/>
      <c r="L73" s="315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ht="18.75" customHeight="1">
      <c r="A74" s="467" t="s">
        <v>38</v>
      </c>
      <c r="B74" s="275"/>
      <c r="C74" s="275"/>
      <c r="D74" s="482" t="s">
        <v>166</v>
      </c>
      <c r="E74" s="483"/>
      <c r="F74" s="483"/>
      <c r="G74" s="437" t="s">
        <v>159</v>
      </c>
      <c r="H74" s="437" t="s">
        <v>232</v>
      </c>
      <c r="I74" s="437"/>
      <c r="J74" s="322"/>
      <c r="K74" s="437" t="s">
        <v>167</v>
      </c>
      <c r="L74" s="431" t="s">
        <v>168</v>
      </c>
      <c r="M74" s="432"/>
      <c r="N74" s="432"/>
      <c r="O74" s="432"/>
      <c r="P74" s="433"/>
      <c r="Q74" s="36"/>
      <c r="R74" s="36"/>
      <c r="S74" s="48"/>
      <c r="T74" s="48"/>
      <c r="U74" s="48"/>
      <c r="V74" s="48"/>
      <c r="W74" s="48"/>
      <c r="X74" s="25"/>
      <c r="Y74" s="25"/>
      <c r="Z74" s="25"/>
      <c r="AA74" s="25"/>
      <c r="AB74" s="25"/>
      <c r="AC74" s="25"/>
      <c r="AD74" s="25"/>
    </row>
    <row r="75" spans="1:30" ht="18.75" customHeight="1">
      <c r="A75" s="468"/>
      <c r="B75" s="279"/>
      <c r="C75" s="279"/>
      <c r="D75" s="484"/>
      <c r="E75" s="485"/>
      <c r="F75" s="485"/>
      <c r="G75" s="463"/>
      <c r="H75" s="463"/>
      <c r="I75" s="463"/>
      <c r="J75" s="437"/>
      <c r="K75" s="463"/>
      <c r="L75" s="437" t="s">
        <v>169</v>
      </c>
      <c r="M75" s="431" t="s">
        <v>81</v>
      </c>
      <c r="N75" s="432"/>
      <c r="O75" s="432"/>
      <c r="P75" s="433"/>
      <c r="Q75" s="36"/>
      <c r="R75" s="36"/>
      <c r="S75" s="48"/>
      <c r="T75" s="48"/>
      <c r="U75" s="48"/>
      <c r="V75" s="48"/>
      <c r="W75" s="48"/>
      <c r="X75" s="25"/>
      <c r="Y75" s="25"/>
      <c r="Z75" s="25"/>
      <c r="AA75" s="25"/>
      <c r="AB75" s="25"/>
      <c r="AC75" s="25"/>
      <c r="AD75" s="25"/>
    </row>
    <row r="76" spans="1:30">
      <c r="A76" s="469"/>
      <c r="B76" s="276"/>
      <c r="C76" s="276"/>
      <c r="D76" s="486"/>
      <c r="E76" s="487"/>
      <c r="F76" s="487"/>
      <c r="G76" s="438"/>
      <c r="H76" s="438"/>
      <c r="I76" s="438"/>
      <c r="J76" s="438"/>
      <c r="K76" s="438"/>
      <c r="L76" s="438"/>
      <c r="M76" s="7" t="s">
        <v>247</v>
      </c>
      <c r="N76" s="7" t="s">
        <v>248</v>
      </c>
      <c r="O76" s="7" t="s">
        <v>249</v>
      </c>
      <c r="P76" s="7" t="s">
        <v>250</v>
      </c>
      <c r="Q76" s="48"/>
      <c r="R76" s="48"/>
      <c r="S76" s="48"/>
      <c r="T76" s="48"/>
      <c r="U76" s="48"/>
      <c r="V76" s="48"/>
      <c r="W76" s="48"/>
      <c r="X76" s="25"/>
      <c r="Y76" s="25"/>
      <c r="Z76" s="25"/>
      <c r="AA76" s="25"/>
      <c r="AB76" s="25"/>
      <c r="AC76" s="25"/>
      <c r="AD76" s="25"/>
    </row>
    <row r="77" spans="1:30">
      <c r="A77" s="56">
        <v>1</v>
      </c>
      <c r="B77" s="277"/>
      <c r="C77" s="277"/>
      <c r="D77" s="459">
        <v>2</v>
      </c>
      <c r="E77" s="460"/>
      <c r="F77" s="460"/>
      <c r="G77" s="83">
        <v>3</v>
      </c>
      <c r="H77" s="83">
        <v>4</v>
      </c>
      <c r="I77" s="83"/>
      <c r="J77" s="83"/>
      <c r="K77" s="83">
        <v>5</v>
      </c>
      <c r="L77" s="83">
        <v>6</v>
      </c>
      <c r="M77" s="83">
        <v>7</v>
      </c>
      <c r="N77" s="83">
        <v>8</v>
      </c>
      <c r="O77" s="83">
        <v>9</v>
      </c>
      <c r="P77" s="83">
        <v>10</v>
      </c>
      <c r="Q77" s="98"/>
      <c r="R77" s="98"/>
      <c r="S77" s="98"/>
      <c r="T77" s="98"/>
      <c r="U77" s="98"/>
      <c r="V77" s="98"/>
      <c r="W77" s="98"/>
      <c r="X77" s="98"/>
      <c r="Y77" s="66"/>
      <c r="Z77" s="66"/>
      <c r="AA77" s="66"/>
      <c r="AB77" s="66"/>
      <c r="AC77" s="66"/>
      <c r="AD77" s="66"/>
    </row>
    <row r="78" spans="1:30">
      <c r="A78" s="77"/>
      <c r="B78" s="280"/>
      <c r="C78" s="280"/>
      <c r="D78" s="465"/>
      <c r="E78" s="466"/>
      <c r="F78" s="466"/>
      <c r="G78" s="90"/>
      <c r="H78" s="90"/>
      <c r="I78" s="90"/>
      <c r="J78" s="119"/>
      <c r="K78" s="90"/>
      <c r="L78" s="119">
        <f>SUM(O78:R78)</f>
        <v>0</v>
      </c>
      <c r="M78" s="91"/>
      <c r="N78" s="91"/>
      <c r="O78" s="91"/>
      <c r="P78" s="91"/>
      <c r="Q78" s="100"/>
      <c r="R78" s="100"/>
      <c r="S78" s="100"/>
      <c r="T78" s="100"/>
      <c r="U78" s="101"/>
      <c r="V78" s="101"/>
      <c r="W78" s="101"/>
      <c r="X78" s="99"/>
      <c r="Y78" s="99"/>
      <c r="Z78" s="99"/>
      <c r="AA78" s="99"/>
      <c r="AB78" s="99"/>
      <c r="AC78" s="99"/>
      <c r="AD78" s="99"/>
    </row>
    <row r="79" spans="1:30">
      <c r="A79" s="92" t="s">
        <v>43</v>
      </c>
      <c r="B79" s="278"/>
      <c r="C79" s="278"/>
      <c r="D79" s="470"/>
      <c r="E79" s="471"/>
      <c r="F79" s="471"/>
      <c r="G79" s="92"/>
      <c r="H79" s="266"/>
      <c r="I79" s="17"/>
      <c r="J79" s="120"/>
      <c r="K79" s="17"/>
      <c r="L79" s="120">
        <f>L78</f>
        <v>0</v>
      </c>
      <c r="M79" s="92"/>
      <c r="N79" s="92"/>
      <c r="O79" s="92"/>
      <c r="P79" s="92"/>
      <c r="Q79" s="24"/>
      <c r="R79" s="24"/>
      <c r="S79" s="24"/>
      <c r="T79" s="24"/>
      <c r="U79" s="24"/>
      <c r="V79" s="24"/>
      <c r="W79" s="24"/>
      <c r="X79" s="97"/>
      <c r="Y79" s="97"/>
      <c r="Z79" s="97"/>
      <c r="AA79" s="97"/>
      <c r="AB79" s="97"/>
      <c r="AC79" s="97"/>
      <c r="AD79" s="97"/>
    </row>
    <row r="80" spans="1:30">
      <c r="A80" s="25"/>
      <c r="B80" s="155"/>
      <c r="C80" s="155"/>
      <c r="D80" s="155"/>
      <c r="E80" s="155"/>
      <c r="F80" s="155"/>
      <c r="G80" s="25"/>
      <c r="H80" s="25"/>
      <c r="I80" s="25"/>
      <c r="J80" s="25"/>
      <c r="K80" s="309"/>
      <c r="L80" s="309"/>
      <c r="M80" s="25"/>
      <c r="N80" s="25"/>
      <c r="O80" s="25"/>
      <c r="P80" s="25"/>
      <c r="Q80" s="25"/>
      <c r="R80" s="25"/>
      <c r="S80" s="25"/>
      <c r="U80" s="30"/>
      <c r="V80" s="30"/>
      <c r="W80" s="30"/>
      <c r="AD80" s="30"/>
    </row>
    <row r="81" spans="1:30">
      <c r="A81" s="25"/>
      <c r="B81" s="155"/>
      <c r="C81" s="155"/>
      <c r="D81" s="155"/>
      <c r="E81" s="155"/>
      <c r="F81" s="155"/>
      <c r="G81" s="25"/>
      <c r="H81" s="25"/>
      <c r="I81" s="25"/>
      <c r="J81" s="25"/>
      <c r="K81" s="309"/>
      <c r="L81" s="309"/>
      <c r="M81" s="25"/>
      <c r="N81" s="25"/>
      <c r="O81" s="25"/>
      <c r="P81" s="25"/>
      <c r="Q81" s="25"/>
      <c r="R81" s="25"/>
      <c r="S81" s="25"/>
      <c r="U81" s="30"/>
      <c r="V81" s="30"/>
      <c r="W81" s="30"/>
      <c r="AD81" s="30"/>
    </row>
    <row r="82" spans="1:30">
      <c r="A82" s="464" t="s">
        <v>244</v>
      </c>
      <c r="B82" s="464"/>
      <c r="C82" s="464"/>
      <c r="D82" s="464"/>
      <c r="E82" s="464"/>
      <c r="F82" s="464"/>
      <c r="G82" s="464"/>
      <c r="H82" s="464"/>
      <c r="I82" s="464"/>
      <c r="J82" s="36"/>
      <c r="K82" s="315"/>
      <c r="L82" s="315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21">
        <v>9</v>
      </c>
      <c r="X82" s="36"/>
      <c r="Y82" s="36"/>
      <c r="Z82" s="36"/>
      <c r="AA82" s="36"/>
      <c r="AB82" s="36"/>
      <c r="AC82" s="36"/>
      <c r="AD82" s="36"/>
    </row>
    <row r="83" spans="1:30">
      <c r="A83" s="26"/>
      <c r="B83" s="191"/>
      <c r="C83" s="191"/>
      <c r="D83" s="191"/>
      <c r="E83" s="191"/>
      <c r="F83" s="191"/>
      <c r="G83" s="26"/>
      <c r="H83" s="26"/>
      <c r="I83" s="26"/>
      <c r="J83" s="26"/>
      <c r="K83" s="26"/>
      <c r="L83" s="26"/>
      <c r="M83" s="37"/>
      <c r="N83" s="37"/>
      <c r="O83" s="37"/>
      <c r="P83" s="37"/>
      <c r="Q83" s="502"/>
      <c r="R83" s="502"/>
      <c r="S83" s="502"/>
      <c r="T83" s="502"/>
      <c r="U83" s="502"/>
      <c r="V83" s="502"/>
      <c r="W83" s="502"/>
    </row>
    <row r="84" spans="1:30" ht="18.75" customHeight="1">
      <c r="A84" s="430" t="s">
        <v>38</v>
      </c>
      <c r="B84" s="271"/>
      <c r="C84" s="271"/>
      <c r="D84" s="443" t="s">
        <v>186</v>
      </c>
      <c r="E84" s="444"/>
      <c r="F84" s="444"/>
      <c r="G84" s="431" t="s">
        <v>42</v>
      </c>
      <c r="H84" s="432"/>
      <c r="I84" s="432"/>
      <c r="J84" s="432"/>
      <c r="K84" s="432"/>
      <c r="L84" s="432"/>
      <c r="M84" s="433"/>
      <c r="N84" s="431" t="s">
        <v>72</v>
      </c>
      <c r="O84" s="432"/>
      <c r="P84" s="432"/>
      <c r="Q84" s="432"/>
      <c r="R84" s="433"/>
    </row>
    <row r="85" spans="1:30" ht="18.75" customHeight="1">
      <c r="A85" s="430"/>
      <c r="B85" s="96"/>
      <c r="C85" s="96"/>
      <c r="D85" s="445"/>
      <c r="E85" s="446"/>
      <c r="F85" s="446"/>
      <c r="G85" s="285" t="s">
        <v>115</v>
      </c>
      <c r="H85" s="431" t="s">
        <v>81</v>
      </c>
      <c r="I85" s="432"/>
      <c r="J85" s="432"/>
      <c r="K85" s="432"/>
      <c r="L85" s="432"/>
      <c r="M85" s="433"/>
      <c r="N85" s="439" t="s">
        <v>115</v>
      </c>
      <c r="O85" s="431" t="s">
        <v>81</v>
      </c>
      <c r="P85" s="432"/>
      <c r="Q85" s="432"/>
      <c r="R85" s="433"/>
    </row>
    <row r="86" spans="1:30">
      <c r="A86" s="430"/>
      <c r="B86" s="272"/>
      <c r="C86" s="272"/>
      <c r="D86" s="447"/>
      <c r="E86" s="448"/>
      <c r="F86" s="448"/>
      <c r="G86" s="286"/>
      <c r="H86" s="7" t="s">
        <v>251</v>
      </c>
      <c r="I86" s="7"/>
      <c r="J86" s="7"/>
      <c r="K86" s="316" t="s">
        <v>248</v>
      </c>
      <c r="L86" s="316" t="s">
        <v>249</v>
      </c>
      <c r="M86" s="7" t="s">
        <v>250</v>
      </c>
      <c r="N86" s="440"/>
      <c r="O86" s="7" t="s">
        <v>251</v>
      </c>
      <c r="P86" s="7" t="s">
        <v>248</v>
      </c>
      <c r="Q86" s="7" t="s">
        <v>249</v>
      </c>
      <c r="R86" s="7" t="s">
        <v>250</v>
      </c>
    </row>
    <row r="87" spans="1:30">
      <c r="A87" s="7">
        <v>1</v>
      </c>
      <c r="B87" s="269"/>
      <c r="C87" s="269"/>
      <c r="D87" s="449">
        <v>2</v>
      </c>
      <c r="E87" s="450"/>
      <c r="F87" s="450"/>
      <c r="G87" s="7">
        <v>3</v>
      </c>
      <c r="H87" s="7">
        <v>4</v>
      </c>
      <c r="I87" s="7"/>
      <c r="J87" s="7"/>
      <c r="K87" s="316">
        <v>5</v>
      </c>
      <c r="L87" s="316">
        <v>6</v>
      </c>
      <c r="M87" s="7">
        <v>7</v>
      </c>
      <c r="N87" s="7">
        <v>8</v>
      </c>
      <c r="O87" s="7">
        <v>9</v>
      </c>
      <c r="P87" s="7">
        <v>10</v>
      </c>
      <c r="Q87" s="7">
        <v>11</v>
      </c>
      <c r="R87" s="7">
        <v>12</v>
      </c>
    </row>
    <row r="88" spans="1:30" ht="100.5" customHeight="1">
      <c r="A88" s="75" t="s">
        <v>359</v>
      </c>
      <c r="B88" s="270"/>
      <c r="C88" s="270"/>
      <c r="D88" s="451" t="s">
        <v>302</v>
      </c>
      <c r="E88" s="452"/>
      <c r="F88" s="452"/>
      <c r="G88" s="265"/>
      <c r="H88" s="265"/>
      <c r="I88" s="119"/>
      <c r="J88" s="134"/>
      <c r="K88" s="119"/>
      <c r="L88" s="134"/>
      <c r="M88" s="134"/>
      <c r="N88" s="133">
        <f>O88+P88+Q88+R88</f>
        <v>38317.600000000006</v>
      </c>
      <c r="O88" s="133">
        <f>'4. Кап. інвестиції'!K9</f>
        <v>2472.9</v>
      </c>
      <c r="P88" s="133">
        <f>'4. Кап. інвестиції'!L9</f>
        <v>2150.5</v>
      </c>
      <c r="Q88" s="133">
        <f>'4. Кап. інвестиції'!M9</f>
        <v>7241.1</v>
      </c>
      <c r="R88" s="133">
        <f>'4. Кап. інвестиції'!N9</f>
        <v>26453.100000000002</v>
      </c>
    </row>
    <row r="89" spans="1:30">
      <c r="A89" s="95" t="s">
        <v>43</v>
      </c>
      <c r="B89" s="281"/>
      <c r="C89" s="281"/>
      <c r="D89" s="441"/>
      <c r="E89" s="442"/>
      <c r="F89" s="442"/>
      <c r="G89" s="265"/>
      <c r="H89" s="265"/>
      <c r="I89" s="116"/>
      <c r="J89" s="116"/>
      <c r="K89" s="116">
        <f t="shared" ref="K89:L89" si="1">SUM(K88:K88)</f>
        <v>0</v>
      </c>
      <c r="L89" s="116">
        <f t="shared" si="1"/>
        <v>0</v>
      </c>
      <c r="M89" s="116">
        <f t="shared" ref="M89:R89" si="2">SUM(M88:M88)</f>
        <v>0</v>
      </c>
      <c r="N89" s="13">
        <f t="shared" si="2"/>
        <v>38317.600000000006</v>
      </c>
      <c r="O89" s="13">
        <f t="shared" si="2"/>
        <v>2472.9</v>
      </c>
      <c r="P89" s="13">
        <f t="shared" si="2"/>
        <v>2150.5</v>
      </c>
      <c r="Q89" s="13">
        <f t="shared" si="2"/>
        <v>7241.1</v>
      </c>
      <c r="R89" s="13">
        <f t="shared" si="2"/>
        <v>26453.100000000002</v>
      </c>
    </row>
    <row r="90" spans="1:30">
      <c r="A90" s="8" t="s">
        <v>44</v>
      </c>
      <c r="B90" s="141"/>
      <c r="C90" s="141"/>
      <c r="D90" s="461"/>
      <c r="E90" s="462"/>
      <c r="F90" s="462"/>
      <c r="G90" s="265"/>
      <c r="H90" s="265"/>
      <c r="I90" s="8"/>
      <c r="J90" s="8"/>
      <c r="K90" s="8"/>
      <c r="L90" s="8"/>
      <c r="M90" s="7"/>
      <c r="N90" s="148">
        <v>1</v>
      </c>
      <c r="O90" s="267">
        <f>O89/$N$89</f>
        <v>6.4536922980562447E-2</v>
      </c>
      <c r="P90" s="267">
        <f>P89/$N$89</f>
        <v>5.6123034845606191E-2</v>
      </c>
      <c r="Q90" s="267">
        <f>Q89/$N$89</f>
        <v>0.18897582312044595</v>
      </c>
      <c r="R90" s="267">
        <f>R89/$N$89</f>
        <v>0.6903642190533853</v>
      </c>
    </row>
    <row r="91" spans="1:30">
      <c r="A91" s="28"/>
      <c r="B91" s="192"/>
      <c r="C91" s="192"/>
      <c r="D91" s="193"/>
      <c r="E91" s="193"/>
      <c r="F91" s="193"/>
      <c r="G91" s="28"/>
      <c r="H91" s="28"/>
      <c r="I91" s="48"/>
      <c r="J91" s="145"/>
      <c r="K91" s="145"/>
      <c r="L91" s="145"/>
      <c r="M91" s="145"/>
      <c r="N91" s="144"/>
      <c r="O91" s="144"/>
      <c r="P91" s="144"/>
      <c r="Q91" s="144"/>
      <c r="R91" s="144"/>
      <c r="S91" s="145"/>
      <c r="T91" s="145"/>
      <c r="U91" s="144"/>
      <c r="V91" s="145"/>
      <c r="W91" s="145"/>
      <c r="X91" s="146"/>
      <c r="Y91" s="146"/>
      <c r="Z91" s="144"/>
      <c r="AA91" s="146"/>
      <c r="AB91" s="146"/>
      <c r="AC91" s="146"/>
      <c r="AD91" s="146"/>
    </row>
    <row r="92" spans="1:30">
      <c r="A92" s="147" t="s">
        <v>303</v>
      </c>
      <c r="B92" s="192"/>
      <c r="C92" s="192"/>
      <c r="D92" s="193"/>
      <c r="E92" s="193"/>
      <c r="F92" s="193"/>
      <c r="G92" s="28"/>
      <c r="H92" s="28"/>
      <c r="I92" s="48"/>
      <c r="J92" s="145"/>
      <c r="K92" s="145"/>
      <c r="L92" s="145"/>
      <c r="M92" s="145"/>
      <c r="N92" s="144"/>
      <c r="O92" s="144"/>
      <c r="Q92" s="453" t="s">
        <v>185</v>
      </c>
      <c r="R92" s="453"/>
      <c r="S92" s="144"/>
      <c r="T92" s="144"/>
      <c r="U92" s="144"/>
      <c r="V92" s="145"/>
      <c r="W92" s="145"/>
      <c r="X92" s="146"/>
      <c r="Y92" s="146"/>
      <c r="Z92" s="144"/>
      <c r="AA92" s="146"/>
      <c r="AB92" s="146"/>
      <c r="AC92" s="146"/>
      <c r="AD92" s="146"/>
    </row>
    <row r="93" spans="1:30" ht="18.75" customHeight="1">
      <c r="A93" s="430" t="s">
        <v>38</v>
      </c>
      <c r="B93" s="271"/>
      <c r="C93" s="271"/>
      <c r="D93" s="443" t="s">
        <v>186</v>
      </c>
      <c r="E93" s="444"/>
      <c r="F93" s="444"/>
      <c r="G93" s="431" t="s">
        <v>208</v>
      </c>
      <c r="H93" s="432"/>
      <c r="I93" s="432"/>
      <c r="J93" s="432"/>
      <c r="K93" s="432"/>
      <c r="L93" s="432"/>
      <c r="M93" s="433"/>
      <c r="N93" s="431" t="s">
        <v>110</v>
      </c>
      <c r="O93" s="432"/>
      <c r="P93" s="432"/>
      <c r="Q93" s="432"/>
      <c r="R93" s="433"/>
      <c r="S93" s="431" t="s">
        <v>43</v>
      </c>
      <c r="T93" s="432"/>
      <c r="U93" s="432"/>
      <c r="V93" s="432"/>
      <c r="W93" s="433"/>
    </row>
    <row r="94" spans="1:30" ht="18.75" customHeight="1">
      <c r="A94" s="430"/>
      <c r="B94" s="96"/>
      <c r="C94" s="96"/>
      <c r="D94" s="445"/>
      <c r="E94" s="446"/>
      <c r="F94" s="446"/>
      <c r="G94" s="437" t="s">
        <v>115</v>
      </c>
      <c r="H94" s="431" t="s">
        <v>81</v>
      </c>
      <c r="I94" s="432"/>
      <c r="J94" s="432"/>
      <c r="K94" s="432"/>
      <c r="L94" s="432"/>
      <c r="M94" s="433"/>
      <c r="N94" s="437" t="s">
        <v>115</v>
      </c>
      <c r="O94" s="431" t="s">
        <v>81</v>
      </c>
      <c r="P94" s="432"/>
      <c r="Q94" s="432"/>
      <c r="R94" s="433"/>
      <c r="S94" s="437" t="s">
        <v>115</v>
      </c>
      <c r="T94" s="431" t="s">
        <v>81</v>
      </c>
      <c r="U94" s="432"/>
      <c r="V94" s="432"/>
      <c r="W94" s="433"/>
    </row>
    <row r="95" spans="1:30">
      <c r="A95" s="430"/>
      <c r="B95" s="272"/>
      <c r="C95" s="272"/>
      <c r="D95" s="447"/>
      <c r="E95" s="448"/>
      <c r="F95" s="448"/>
      <c r="G95" s="438"/>
      <c r="H95" s="7" t="s">
        <v>60</v>
      </c>
      <c r="I95" s="7"/>
      <c r="J95" s="7"/>
      <c r="K95" s="316" t="s">
        <v>61</v>
      </c>
      <c r="L95" s="316" t="s">
        <v>59</v>
      </c>
      <c r="M95" s="7" t="s">
        <v>58</v>
      </c>
      <c r="N95" s="438"/>
      <c r="O95" s="7" t="s">
        <v>60</v>
      </c>
      <c r="P95" s="7" t="s">
        <v>61</v>
      </c>
      <c r="Q95" s="7" t="s">
        <v>59</v>
      </c>
      <c r="R95" s="7" t="s">
        <v>58</v>
      </c>
      <c r="S95" s="438"/>
      <c r="T95" s="7" t="s">
        <v>60</v>
      </c>
      <c r="U95" s="7" t="s">
        <v>61</v>
      </c>
      <c r="V95" s="7" t="s">
        <v>59</v>
      </c>
      <c r="W95" s="7" t="s">
        <v>58</v>
      </c>
    </row>
    <row r="96" spans="1:30">
      <c r="A96" s="7">
        <v>1</v>
      </c>
      <c r="B96" s="269"/>
      <c r="C96" s="269"/>
      <c r="D96" s="449">
        <v>2</v>
      </c>
      <c r="E96" s="450"/>
      <c r="F96" s="450"/>
      <c r="G96" s="7">
        <v>13</v>
      </c>
      <c r="H96" s="7">
        <v>14</v>
      </c>
      <c r="I96" s="7"/>
      <c r="J96" s="7"/>
      <c r="K96" s="316">
        <v>15</v>
      </c>
      <c r="L96" s="316">
        <v>16</v>
      </c>
      <c r="M96" s="7">
        <v>17</v>
      </c>
      <c r="N96" s="7">
        <v>18</v>
      </c>
      <c r="O96" s="7">
        <v>19</v>
      </c>
      <c r="P96" s="6">
        <v>20</v>
      </c>
      <c r="Q96" s="6">
        <v>21</v>
      </c>
      <c r="R96" s="6">
        <v>22</v>
      </c>
      <c r="S96" s="6">
        <v>23</v>
      </c>
      <c r="T96" s="6">
        <v>24</v>
      </c>
      <c r="U96" s="6">
        <v>25</v>
      </c>
      <c r="V96" s="6">
        <v>26</v>
      </c>
      <c r="W96" s="6">
        <v>27</v>
      </c>
    </row>
    <row r="97" spans="1:34" ht="87.75" customHeight="1">
      <c r="A97" s="75" t="s">
        <v>359</v>
      </c>
      <c r="B97" s="270"/>
      <c r="C97" s="270"/>
      <c r="D97" s="451" t="s">
        <v>302</v>
      </c>
      <c r="E97" s="452"/>
      <c r="F97" s="452"/>
      <c r="G97" s="133">
        <f>H97+I97+J97+M97</f>
        <v>0</v>
      </c>
      <c r="H97" s="135"/>
      <c r="I97" s="135"/>
      <c r="J97" s="135"/>
      <c r="K97" s="135"/>
      <c r="L97" s="135"/>
      <c r="M97" s="135"/>
      <c r="N97" s="133">
        <f>O97+P97+Q97+R97</f>
        <v>0</v>
      </c>
      <c r="O97" s="135"/>
      <c r="P97" s="135"/>
      <c r="Q97" s="135"/>
      <c r="R97" s="135"/>
      <c r="S97" s="13">
        <f>N88</f>
        <v>38317.600000000006</v>
      </c>
      <c r="T97" s="118">
        <f>J88+O88+H97+O97</f>
        <v>2472.9</v>
      </c>
      <c r="U97" s="118">
        <f>M88+P88+I97+P97</f>
        <v>2150.5</v>
      </c>
      <c r="V97" s="118">
        <f>Q88</f>
        <v>7241.1</v>
      </c>
      <c r="W97" s="118">
        <f>R88</f>
        <v>26453.100000000002</v>
      </c>
    </row>
    <row r="98" spans="1:34">
      <c r="A98" s="95" t="s">
        <v>43</v>
      </c>
      <c r="B98" s="281"/>
      <c r="C98" s="281"/>
      <c r="D98" s="441"/>
      <c r="E98" s="442"/>
      <c r="F98" s="442"/>
      <c r="G98" s="13">
        <f t="shared" ref="G98:R98" si="3">SUM(G97:G97)</f>
        <v>0</v>
      </c>
      <c r="H98" s="13">
        <f t="shared" si="3"/>
        <v>0</v>
      </c>
      <c r="I98" s="13"/>
      <c r="J98" s="13"/>
      <c r="K98" s="13">
        <f t="shared" ref="K98:L98" si="4">SUM(K97:K97)</f>
        <v>0</v>
      </c>
      <c r="L98" s="13">
        <f t="shared" si="4"/>
        <v>0</v>
      </c>
      <c r="M98" s="13">
        <f t="shared" si="3"/>
        <v>0</v>
      </c>
      <c r="N98" s="13">
        <f t="shared" si="3"/>
        <v>0</v>
      </c>
      <c r="O98" s="13">
        <f t="shared" si="3"/>
        <v>0</v>
      </c>
      <c r="P98" s="13">
        <f t="shared" si="3"/>
        <v>0</v>
      </c>
      <c r="Q98" s="13">
        <f t="shared" si="3"/>
        <v>0</v>
      </c>
      <c r="R98" s="13">
        <f t="shared" si="3"/>
        <v>0</v>
      </c>
      <c r="S98" s="13">
        <f>SUM(T98:W98)</f>
        <v>38317.600000000006</v>
      </c>
      <c r="T98" s="13">
        <f>SUM(T97)</f>
        <v>2472.9</v>
      </c>
      <c r="U98" s="13">
        <f>SUM(U97)</f>
        <v>2150.5</v>
      </c>
      <c r="V98" s="13">
        <f>SUM(V97)</f>
        <v>7241.1</v>
      </c>
      <c r="W98" s="13">
        <f>SUM(W97)</f>
        <v>26453.100000000002</v>
      </c>
    </row>
    <row r="99" spans="1:34">
      <c r="A99" s="8" t="s">
        <v>44</v>
      </c>
      <c r="B99" s="141"/>
      <c r="C99" s="141"/>
      <c r="D99" s="461"/>
      <c r="E99" s="462"/>
      <c r="F99" s="462"/>
      <c r="G99" s="78"/>
      <c r="H99" s="78"/>
      <c r="I99" s="137"/>
      <c r="J99" s="78"/>
      <c r="K99" s="137"/>
      <c r="L99" s="78"/>
      <c r="M99" s="78"/>
      <c r="N99" s="78"/>
      <c r="O99" s="78"/>
      <c r="P99" s="137"/>
      <c r="Q99" s="79"/>
      <c r="R99" s="79"/>
      <c r="S99" s="267">
        <f>N90</f>
        <v>1</v>
      </c>
      <c r="T99" s="267">
        <f>O90</f>
        <v>6.4536922980562447E-2</v>
      </c>
      <c r="U99" s="267">
        <f>P90</f>
        <v>5.6123034845606191E-2</v>
      </c>
      <c r="V99" s="267">
        <f>Q90</f>
        <v>0.18897582312044595</v>
      </c>
      <c r="W99" s="267">
        <f>R90</f>
        <v>0.6903642190533853</v>
      </c>
    </row>
    <row r="100" spans="1:34">
      <c r="A100" s="28"/>
      <c r="B100" s="192"/>
      <c r="C100" s="192"/>
      <c r="D100" s="193"/>
      <c r="E100" s="193"/>
      <c r="F100" s="193"/>
      <c r="G100" s="28"/>
      <c r="H100" s="28"/>
      <c r="I100" s="48"/>
      <c r="J100" s="145"/>
      <c r="K100" s="145"/>
      <c r="L100" s="145"/>
      <c r="M100" s="145"/>
      <c r="N100" s="144"/>
      <c r="O100" s="144"/>
      <c r="P100" s="144"/>
      <c r="Q100" s="144"/>
      <c r="R100" s="144"/>
      <c r="S100" s="145"/>
      <c r="T100" s="145"/>
      <c r="U100" s="144"/>
      <c r="V100" s="145"/>
      <c r="W100" s="145"/>
      <c r="X100" s="146"/>
      <c r="Y100" s="146"/>
      <c r="Z100" s="144"/>
      <c r="AA100" s="146"/>
      <c r="AB100" s="146"/>
      <c r="AC100" s="146"/>
      <c r="AD100" s="146"/>
    </row>
    <row r="101" spans="1:34" ht="18.75" customHeight="1">
      <c r="H101" s="3"/>
      <c r="I101" s="138"/>
      <c r="J101" s="138"/>
      <c r="K101" s="138"/>
      <c r="L101" s="138"/>
      <c r="M101" s="138"/>
    </row>
    <row r="102" spans="1:34">
      <c r="A102" s="18" t="s">
        <v>267</v>
      </c>
    </row>
    <row r="103" spans="1:34">
      <c r="A103" s="18"/>
    </row>
    <row r="104" spans="1:34">
      <c r="A104" s="18"/>
      <c r="T104" s="2" t="s">
        <v>281</v>
      </c>
    </row>
    <row r="105" spans="1:34" ht="18.75" customHeight="1">
      <c r="A105" s="481" t="s">
        <v>38</v>
      </c>
      <c r="B105" s="282"/>
      <c r="C105" s="282"/>
      <c r="D105" s="443" t="s">
        <v>271</v>
      </c>
      <c r="E105" s="444"/>
      <c r="F105" s="444"/>
      <c r="G105" s="437" t="s">
        <v>272</v>
      </c>
      <c r="H105" s="437" t="s">
        <v>273</v>
      </c>
      <c r="I105" s="437" t="s">
        <v>268</v>
      </c>
      <c r="J105" s="437" t="s">
        <v>269</v>
      </c>
      <c r="K105" s="437" t="s">
        <v>268</v>
      </c>
      <c r="L105" s="437" t="s">
        <v>269</v>
      </c>
      <c r="M105" s="431" t="s">
        <v>115</v>
      </c>
      <c r="N105" s="432"/>
      <c r="O105" s="432"/>
      <c r="P105" s="432"/>
      <c r="Q105" s="433"/>
      <c r="R105" s="488" t="s">
        <v>274</v>
      </c>
      <c r="S105" s="492"/>
      <c r="T105" s="439"/>
      <c r="U105" s="430" t="s">
        <v>275</v>
      </c>
      <c r="V105" s="430"/>
      <c r="W105" s="430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1:34">
      <c r="A106" s="481"/>
      <c r="B106" s="283"/>
      <c r="C106" s="283"/>
      <c r="D106" s="474"/>
      <c r="E106" s="475"/>
      <c r="F106" s="475"/>
      <c r="G106" s="463"/>
      <c r="H106" s="458"/>
      <c r="I106" s="458"/>
      <c r="J106" s="458"/>
      <c r="K106" s="458"/>
      <c r="L106" s="458"/>
      <c r="M106" s="437" t="s">
        <v>270</v>
      </c>
      <c r="N106" s="437" t="s">
        <v>276</v>
      </c>
      <c r="O106" s="431" t="s">
        <v>280</v>
      </c>
      <c r="P106" s="490"/>
      <c r="Q106" s="491"/>
      <c r="R106" s="493"/>
      <c r="S106" s="494"/>
      <c r="T106" s="495"/>
      <c r="U106" s="430"/>
      <c r="V106" s="430"/>
      <c r="W106" s="430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1:34" ht="93.75">
      <c r="A107" s="481"/>
      <c r="B107" s="284"/>
      <c r="C107" s="284"/>
      <c r="D107" s="476"/>
      <c r="E107" s="477"/>
      <c r="F107" s="477"/>
      <c r="G107" s="438"/>
      <c r="H107" s="457"/>
      <c r="I107" s="457"/>
      <c r="J107" s="457"/>
      <c r="K107" s="457"/>
      <c r="L107" s="457"/>
      <c r="M107" s="457"/>
      <c r="N107" s="457"/>
      <c r="O107" s="94" t="s">
        <v>277</v>
      </c>
      <c r="P107" s="7" t="s">
        <v>278</v>
      </c>
      <c r="Q107" s="7" t="s">
        <v>279</v>
      </c>
      <c r="R107" s="496"/>
      <c r="S107" s="497"/>
      <c r="T107" s="440"/>
      <c r="U107" s="430"/>
      <c r="V107" s="430"/>
      <c r="W107" s="430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1:34">
      <c r="A108" s="6">
        <v>1</v>
      </c>
      <c r="B108" s="274"/>
      <c r="C108" s="274"/>
      <c r="D108" s="449">
        <v>2</v>
      </c>
      <c r="E108" s="450"/>
      <c r="F108" s="450"/>
      <c r="G108" s="7">
        <v>3</v>
      </c>
      <c r="H108" s="7">
        <v>4</v>
      </c>
      <c r="I108" s="7">
        <v>5</v>
      </c>
      <c r="J108" s="7">
        <v>6</v>
      </c>
      <c r="K108" s="316">
        <v>5</v>
      </c>
      <c r="L108" s="316">
        <v>6</v>
      </c>
      <c r="M108" s="7">
        <v>7</v>
      </c>
      <c r="N108" s="7">
        <v>8</v>
      </c>
      <c r="O108" s="7">
        <v>9</v>
      </c>
      <c r="P108" s="7">
        <v>10</v>
      </c>
      <c r="Q108" s="7">
        <v>11</v>
      </c>
      <c r="R108" s="431">
        <v>12</v>
      </c>
      <c r="S108" s="432"/>
      <c r="T108" s="433"/>
      <c r="U108" s="430">
        <v>13</v>
      </c>
      <c r="V108" s="430"/>
      <c r="W108" s="430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spans="1:34" ht="18.75" customHeight="1">
      <c r="A109" s="75"/>
      <c r="B109" s="270"/>
      <c r="C109" s="270"/>
      <c r="D109" s="441"/>
      <c r="E109" s="442"/>
      <c r="F109" s="442"/>
      <c r="G109" s="75"/>
      <c r="H109" s="75"/>
      <c r="I109" s="75"/>
      <c r="J109" s="75"/>
      <c r="K109" s="319"/>
      <c r="L109" s="319"/>
      <c r="M109" s="75"/>
      <c r="N109" s="75"/>
      <c r="O109" s="75"/>
      <c r="P109" s="75"/>
      <c r="Q109" s="75"/>
      <c r="R109" s="434"/>
      <c r="S109" s="435"/>
      <c r="T109" s="436"/>
      <c r="U109" s="429"/>
      <c r="V109" s="429"/>
      <c r="W109" s="429"/>
      <c r="X109" s="139"/>
      <c r="Y109" s="139"/>
      <c r="Z109" s="139"/>
      <c r="AA109" s="139"/>
      <c r="AB109" s="139"/>
      <c r="AC109" s="140"/>
      <c r="AD109" s="140"/>
      <c r="AE109" s="140"/>
      <c r="AF109" s="140"/>
      <c r="AG109" s="140"/>
      <c r="AH109" s="140"/>
    </row>
    <row r="110" spans="1:34">
      <c r="A110" s="75"/>
      <c r="B110" s="270"/>
      <c r="C110" s="270"/>
      <c r="D110" s="441"/>
      <c r="E110" s="442"/>
      <c r="F110" s="442"/>
      <c r="G110" s="75"/>
      <c r="H110" s="75"/>
      <c r="I110" s="75"/>
      <c r="J110" s="75"/>
      <c r="K110" s="319"/>
      <c r="L110" s="319"/>
      <c r="M110" s="75"/>
      <c r="N110" s="75"/>
      <c r="O110" s="75"/>
      <c r="P110" s="75"/>
      <c r="Q110" s="75"/>
      <c r="R110" s="434"/>
      <c r="S110" s="435"/>
      <c r="T110" s="436"/>
      <c r="U110" s="429"/>
      <c r="V110" s="429"/>
      <c r="W110" s="429"/>
      <c r="X110" s="139"/>
      <c r="Y110" s="139"/>
      <c r="Z110" s="139"/>
      <c r="AA110" s="139"/>
      <c r="AB110" s="139"/>
      <c r="AC110" s="140"/>
      <c r="AD110" s="140"/>
      <c r="AE110" s="140"/>
      <c r="AF110" s="140"/>
      <c r="AG110" s="140"/>
      <c r="AH110" s="140"/>
    </row>
    <row r="111" spans="1:34">
      <c r="A111" s="8" t="s">
        <v>43</v>
      </c>
      <c r="B111" s="141"/>
      <c r="C111" s="141"/>
      <c r="D111" s="461"/>
      <c r="E111" s="462"/>
      <c r="F111" s="462"/>
      <c r="G111" s="8"/>
      <c r="H111" s="8"/>
      <c r="I111" s="7"/>
      <c r="J111" s="7"/>
      <c r="K111" s="316"/>
      <c r="L111" s="316"/>
      <c r="M111" s="7"/>
      <c r="N111" s="7"/>
      <c r="O111" s="7"/>
      <c r="P111" s="7"/>
      <c r="Q111" s="7"/>
      <c r="R111" s="431"/>
      <c r="S111" s="432"/>
      <c r="T111" s="433"/>
      <c r="U111" s="430"/>
      <c r="V111" s="430"/>
      <c r="W111" s="430"/>
      <c r="X111" s="139"/>
      <c r="Y111" s="139"/>
      <c r="Z111" s="139"/>
      <c r="AA111" s="139"/>
      <c r="AB111" s="139"/>
      <c r="AC111" s="140"/>
      <c r="AD111" s="140"/>
      <c r="AE111" s="140"/>
      <c r="AF111" s="140"/>
      <c r="AG111" s="140"/>
      <c r="AH111" s="140"/>
    </row>
    <row r="114" spans="1:14" s="3" customFormat="1" ht="19.5" customHeight="1">
      <c r="A114" s="52" t="s">
        <v>304</v>
      </c>
      <c r="B114" s="194"/>
      <c r="C114" s="194"/>
      <c r="D114" s="411"/>
      <c r="E114" s="411"/>
      <c r="F114" s="411"/>
      <c r="G114" s="411"/>
      <c r="H114" s="412"/>
      <c r="I114" s="15"/>
      <c r="J114" s="414" t="s">
        <v>305</v>
      </c>
      <c r="K114" s="414"/>
      <c r="L114" s="414"/>
      <c r="M114" s="414"/>
      <c r="N114" s="414"/>
    </row>
    <row r="115" spans="1:14">
      <c r="A115" s="25" t="s">
        <v>63</v>
      </c>
      <c r="B115" s="174"/>
      <c r="C115" s="174"/>
      <c r="D115" s="400"/>
      <c r="E115" s="400"/>
      <c r="F115" s="400"/>
      <c r="G115" s="400"/>
      <c r="H115" s="3"/>
      <c r="I115" s="27"/>
      <c r="J115" s="418" t="s">
        <v>84</v>
      </c>
      <c r="K115" s="418"/>
      <c r="L115" s="418"/>
      <c r="M115" s="418"/>
      <c r="N115" s="418"/>
    </row>
  </sheetData>
  <mergeCells count="173">
    <mergeCell ref="K32:L32"/>
    <mergeCell ref="K33:L33"/>
    <mergeCell ref="K105:K107"/>
    <mergeCell ref="L105:L107"/>
    <mergeCell ref="L75:L76"/>
    <mergeCell ref="K74:K76"/>
    <mergeCell ref="L74:P74"/>
    <mergeCell ref="K65:K66"/>
    <mergeCell ref="L65:P65"/>
    <mergeCell ref="K37:L37"/>
    <mergeCell ref="K19:L19"/>
    <mergeCell ref="K20:L20"/>
    <mergeCell ref="K21:L21"/>
    <mergeCell ref="K22:L22"/>
    <mergeCell ref="K23:L23"/>
    <mergeCell ref="K24:L24"/>
    <mergeCell ref="K25:L25"/>
    <mergeCell ref="K26:L26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27:L27"/>
    <mergeCell ref="K28:L28"/>
    <mergeCell ref="K29:L29"/>
    <mergeCell ref="K30:L30"/>
    <mergeCell ref="K31:L31"/>
    <mergeCell ref="A2:M2"/>
    <mergeCell ref="A4:M4"/>
    <mergeCell ref="A3:M3"/>
    <mergeCell ref="I17:J17"/>
    <mergeCell ref="I11:J11"/>
    <mergeCell ref="I30:J30"/>
    <mergeCell ref="I12:J12"/>
    <mergeCell ref="I13:J13"/>
    <mergeCell ref="I22:J22"/>
    <mergeCell ref="I20:J20"/>
    <mergeCell ref="I21:J21"/>
    <mergeCell ref="I14:J14"/>
    <mergeCell ref="I15:J15"/>
    <mergeCell ref="I16:J16"/>
    <mergeCell ref="I18:J18"/>
    <mergeCell ref="I24:J24"/>
    <mergeCell ref="I9:J9"/>
    <mergeCell ref="I10:J10"/>
    <mergeCell ref="K18:L18"/>
    <mergeCell ref="J115:N115"/>
    <mergeCell ref="O106:Q106"/>
    <mergeCell ref="R105:T107"/>
    <mergeCell ref="R108:T108"/>
    <mergeCell ref="I25:J25"/>
    <mergeCell ref="I32:J32"/>
    <mergeCell ref="I27:J27"/>
    <mergeCell ref="O56:R56"/>
    <mergeCell ref="A72:M72"/>
    <mergeCell ref="B37:H37"/>
    <mergeCell ref="Q37:R37"/>
    <mergeCell ref="H94:M94"/>
    <mergeCell ref="M48:O48"/>
    <mergeCell ref="I37:J37"/>
    <mergeCell ref="M37:N37"/>
    <mergeCell ref="O37:P37"/>
    <mergeCell ref="M49:O49"/>
    <mergeCell ref="I28:J28"/>
    <mergeCell ref="I31:J31"/>
    <mergeCell ref="I26:J26"/>
    <mergeCell ref="Q83:W83"/>
    <mergeCell ref="M47:O47"/>
    <mergeCell ref="G54:H54"/>
    <mergeCell ref="D65:F66"/>
    <mergeCell ref="A1:M1"/>
    <mergeCell ref="I19:J19"/>
    <mergeCell ref="I23:J23"/>
    <mergeCell ref="I29:J29"/>
    <mergeCell ref="A37:A38"/>
    <mergeCell ref="I33:J33"/>
    <mergeCell ref="A105:A107"/>
    <mergeCell ref="A63:O63"/>
    <mergeCell ref="A84:A86"/>
    <mergeCell ref="M106:M107"/>
    <mergeCell ref="I74:I76"/>
    <mergeCell ref="A65:A66"/>
    <mergeCell ref="H74:H76"/>
    <mergeCell ref="H105:H107"/>
    <mergeCell ref="A93:A95"/>
    <mergeCell ref="D93:F95"/>
    <mergeCell ref="G93:M93"/>
    <mergeCell ref="D49:F49"/>
    <mergeCell ref="H65:H66"/>
    <mergeCell ref="D74:F76"/>
    <mergeCell ref="D59:F59"/>
    <mergeCell ref="D60:F60"/>
    <mergeCell ref="D56:F56"/>
    <mergeCell ref="G53:H53"/>
    <mergeCell ref="D53:F53"/>
    <mergeCell ref="D67:F67"/>
    <mergeCell ref="D55:F55"/>
    <mergeCell ref="D54:F54"/>
    <mergeCell ref="U108:W108"/>
    <mergeCell ref="J105:J107"/>
    <mergeCell ref="N93:R93"/>
    <mergeCell ref="S93:W93"/>
    <mergeCell ref="N94:N95"/>
    <mergeCell ref="U105:W107"/>
    <mergeCell ref="D90:F90"/>
    <mergeCell ref="M75:P75"/>
    <mergeCell ref="G84:M84"/>
    <mergeCell ref="H85:M85"/>
    <mergeCell ref="J75:J76"/>
    <mergeCell ref="D70:F70"/>
    <mergeCell ref="D105:F107"/>
    <mergeCell ref="D108:F108"/>
    <mergeCell ref="D47:F47"/>
    <mergeCell ref="D48:F48"/>
    <mergeCell ref="D68:F68"/>
    <mergeCell ref="D61:F61"/>
    <mergeCell ref="D57:F57"/>
    <mergeCell ref="D58:F58"/>
    <mergeCell ref="D115:G115"/>
    <mergeCell ref="D98:F98"/>
    <mergeCell ref="D99:F99"/>
    <mergeCell ref="G105:G107"/>
    <mergeCell ref="G94:G95"/>
    <mergeCell ref="D96:F96"/>
    <mergeCell ref="D97:F97"/>
    <mergeCell ref="D110:F110"/>
    <mergeCell ref="D114:H114"/>
    <mergeCell ref="D111:F111"/>
    <mergeCell ref="D69:F69"/>
    <mergeCell ref="D77:F77"/>
    <mergeCell ref="A82:I82"/>
    <mergeCell ref="I65:I66"/>
    <mergeCell ref="D78:F78"/>
    <mergeCell ref="A74:A76"/>
    <mergeCell ref="D79:F79"/>
    <mergeCell ref="G74:G76"/>
    <mergeCell ref="J114:N114"/>
    <mergeCell ref="I53:N53"/>
    <mergeCell ref="I54:N54"/>
    <mergeCell ref="O53:R53"/>
    <mergeCell ref="O54:R54"/>
    <mergeCell ref="O55:R55"/>
    <mergeCell ref="O61:R61"/>
    <mergeCell ref="N106:N107"/>
    <mergeCell ref="R109:T109"/>
    <mergeCell ref="I105:I107"/>
    <mergeCell ref="D109:F109"/>
    <mergeCell ref="M105:Q105"/>
    <mergeCell ref="D84:F86"/>
    <mergeCell ref="D87:F87"/>
    <mergeCell ref="D88:F88"/>
    <mergeCell ref="Q92:R92"/>
    <mergeCell ref="D89:F89"/>
    <mergeCell ref="O85:R85"/>
    <mergeCell ref="O57:R57"/>
    <mergeCell ref="O58:R58"/>
    <mergeCell ref="O59:R59"/>
    <mergeCell ref="O60:R60"/>
    <mergeCell ref="U110:W110"/>
    <mergeCell ref="U111:W111"/>
    <mergeCell ref="R111:T111"/>
    <mergeCell ref="R110:T110"/>
    <mergeCell ref="N84:R84"/>
    <mergeCell ref="S94:S95"/>
    <mergeCell ref="T94:W94"/>
    <mergeCell ref="U109:W109"/>
    <mergeCell ref="N85:N86"/>
    <mergeCell ref="O94:R94"/>
  </mergeCells>
  <phoneticPr fontId="3" type="noConversion"/>
  <pageMargins left="0.70866141732283472" right="0.19685039370078741" top="0.78740157480314965" bottom="0.78740157480314965" header="0.27559055118110237" footer="0.15748031496062992"/>
  <pageSetup paperSize="9" scale="44" fitToHeight="5" orientation="landscape" horizontalDpi="1200" verticalDpi="1200" r:id="rId1"/>
  <headerFooter alignWithMargins="0"/>
  <rowBreaks count="2" manualBreakCount="2">
    <brk id="43" max="19" man="1"/>
    <brk id="81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AM346"/>
  <sheetViews>
    <sheetView showZeros="0" tabSelected="1" view="pageBreakPreview" topLeftCell="A7" zoomScale="85" zoomScaleNormal="75" zoomScaleSheetLayoutView="85" workbookViewId="0">
      <selection activeCell="S26" sqref="S26"/>
    </sheetView>
  </sheetViews>
  <sheetFormatPr defaultRowHeight="18.75" outlineLevelRow="1" outlineLevelCol="1"/>
  <cols>
    <col min="1" max="1" width="52.140625" style="337" customWidth="1"/>
    <col min="2" max="2" width="8" style="332" customWidth="1"/>
    <col min="3" max="3" width="12.42578125" style="155" hidden="1" customWidth="1" outlineLevel="1"/>
    <col min="4" max="4" width="13.7109375" style="155" hidden="1" customWidth="1" outlineLevel="1"/>
    <col min="5" max="5" width="12.5703125" style="155" hidden="1" customWidth="1" outlineLevel="1"/>
    <col min="6" max="6" width="12.5703125" style="155" hidden="1" customWidth="1" outlineLevel="1" collapsed="1"/>
    <col min="7" max="8" width="14.140625" style="155" hidden="1" customWidth="1" outlineLevel="1"/>
    <col min="9" max="9" width="18.42578125" style="155" customWidth="1" collapsed="1"/>
    <col min="10" max="10" width="18" style="337" customWidth="1"/>
    <col min="11" max="11" width="13" style="337" hidden="1" customWidth="1" outlineLevel="1"/>
    <col min="12" max="12" width="11.7109375" style="337" hidden="1" customWidth="1" outlineLevel="1"/>
    <col min="13" max="13" width="12.42578125" style="337" hidden="1" customWidth="1" outlineLevel="1"/>
    <col min="14" max="14" width="11.5703125" style="337" hidden="1" customWidth="1" outlineLevel="1"/>
    <col min="15" max="15" width="11.5703125" style="337" bestFit="1" customWidth="1" collapsed="1"/>
    <col min="16" max="16" width="51.28515625" style="337" customWidth="1"/>
    <col min="17" max="17" width="10.28515625" style="337" bestFit="1" customWidth="1"/>
    <col min="18" max="16384" width="9.140625" style="337"/>
  </cols>
  <sheetData>
    <row r="1" spans="1:39" ht="80.25" customHeight="1">
      <c r="A1" s="505" t="s">
        <v>375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</row>
    <row r="2" spans="1:39" ht="12" customHeight="1">
      <c r="A2" s="333"/>
      <c r="B2" s="333"/>
      <c r="C2" s="156"/>
      <c r="D2" s="156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</row>
    <row r="3" spans="1:39" s="254" customFormat="1" ht="36" customHeight="1">
      <c r="A3" s="401" t="s">
        <v>195</v>
      </c>
      <c r="B3" s="402" t="s">
        <v>6</v>
      </c>
      <c r="C3" s="396" t="s">
        <v>326</v>
      </c>
      <c r="D3" s="398" t="s">
        <v>337</v>
      </c>
      <c r="E3" s="396" t="str">
        <f>'Фінплан - зведені показники'!E15</f>
        <v xml:space="preserve">Факт 2017 року </v>
      </c>
      <c r="F3" s="396" t="str">
        <f>'Фінплан - зведені показники'!F15</f>
        <v xml:space="preserve">Факт 2018 року </v>
      </c>
      <c r="G3" s="396" t="str">
        <f>'Фінплан - зведені показники'!G15</f>
        <v>Фінансовий план 2019 року</v>
      </c>
      <c r="H3" s="396" t="str">
        <f>'Фінплан - зведені показники'!H15</f>
        <v>Факт 2019 року</v>
      </c>
      <c r="I3" s="396" t="str">
        <f>'Фінплан - зведені показники'!I15</f>
        <v>Фінансовий план 2020 року</v>
      </c>
      <c r="J3" s="396" t="str">
        <f>'Фінплан - зведені показники'!J15</f>
        <v>Плановий 2020 рік  (зі змінами)</v>
      </c>
      <c r="K3" s="402" t="s">
        <v>283</v>
      </c>
      <c r="L3" s="402"/>
      <c r="M3" s="402"/>
      <c r="N3" s="402"/>
      <c r="O3" s="396" t="s">
        <v>373</v>
      </c>
      <c r="P3" s="396" t="s">
        <v>374</v>
      </c>
    </row>
    <row r="4" spans="1:39" s="254" customFormat="1" ht="9" customHeight="1">
      <c r="A4" s="401"/>
      <c r="B4" s="402"/>
      <c r="C4" s="399"/>
      <c r="D4" s="398"/>
      <c r="E4" s="399"/>
      <c r="F4" s="399"/>
      <c r="G4" s="399"/>
      <c r="H4" s="399"/>
      <c r="I4" s="399"/>
      <c r="J4" s="399"/>
      <c r="K4" s="255" t="s">
        <v>155</v>
      </c>
      <c r="L4" s="255" t="s">
        <v>156</v>
      </c>
      <c r="M4" s="255" t="s">
        <v>157</v>
      </c>
      <c r="N4" s="255" t="s">
        <v>58</v>
      </c>
      <c r="O4" s="399"/>
      <c r="P4" s="399"/>
    </row>
    <row r="5" spans="1:39" ht="18" hidden="1" customHeight="1">
      <c r="A5" s="339">
        <v>1</v>
      </c>
      <c r="B5" s="338">
        <v>2</v>
      </c>
      <c r="C5" s="248">
        <v>3</v>
      </c>
      <c r="D5" s="248">
        <v>3</v>
      </c>
      <c r="E5" s="248">
        <v>3</v>
      </c>
      <c r="F5" s="248">
        <v>3</v>
      </c>
      <c r="G5" s="248">
        <v>4</v>
      </c>
      <c r="H5" s="248">
        <v>5</v>
      </c>
      <c r="I5" s="248"/>
      <c r="J5" s="248">
        <v>6</v>
      </c>
      <c r="K5" s="248">
        <v>7</v>
      </c>
      <c r="L5" s="248">
        <v>8</v>
      </c>
      <c r="M5" s="248">
        <v>9</v>
      </c>
      <c r="N5" s="248">
        <v>10</v>
      </c>
      <c r="O5" s="333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4"/>
      <c r="AM5" s="254"/>
    </row>
    <row r="6" spans="1:39" s="5" customFormat="1" ht="20.100000000000001" customHeight="1">
      <c r="A6" s="419" t="s">
        <v>235</v>
      </c>
      <c r="B6" s="419"/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333"/>
      <c r="P6" s="337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  <c r="AG6" s="254"/>
      <c r="AH6" s="254"/>
      <c r="AI6" s="254"/>
      <c r="AJ6" s="254"/>
      <c r="AK6" s="254"/>
      <c r="AL6" s="254"/>
      <c r="AM6" s="254"/>
    </row>
    <row r="7" spans="1:39" s="175" customFormat="1" ht="37.5">
      <c r="A7" s="335" t="s">
        <v>236</v>
      </c>
      <c r="B7" s="179">
        <v>1000</v>
      </c>
      <c r="C7" s="159">
        <f t="shared" ref="C7:N7" si="0">C8+C9+C10</f>
        <v>3937.0999999999995</v>
      </c>
      <c r="D7" s="204">
        <f t="shared" si="0"/>
        <v>7632.7000000000007</v>
      </c>
      <c r="E7" s="204">
        <f>E8+E9+E10</f>
        <v>10722.4</v>
      </c>
      <c r="F7" s="204">
        <f>F8+F9+F10</f>
        <v>11298.1</v>
      </c>
      <c r="G7" s="204">
        <f>G8+G9+G10</f>
        <v>13828</v>
      </c>
      <c r="H7" s="204">
        <f>H8+H9+H10</f>
        <v>13828</v>
      </c>
      <c r="I7" s="204">
        <v>20445.099999999999</v>
      </c>
      <c r="J7" s="204">
        <f>'1.Фінансовий результат'!J10</f>
        <v>20600.3</v>
      </c>
      <c r="K7" s="204">
        <f>K8+K9+K10</f>
        <v>6370.5</v>
      </c>
      <c r="L7" s="204">
        <f>L8+L9+L10</f>
        <v>4142.1000000000004</v>
      </c>
      <c r="M7" s="204">
        <f t="shared" si="0"/>
        <v>3641</v>
      </c>
      <c r="N7" s="341">
        <f t="shared" si="0"/>
        <v>6291.5000000000009</v>
      </c>
      <c r="O7" s="357">
        <f>J7-I7</f>
        <v>155.20000000000073</v>
      </c>
      <c r="P7" s="361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4"/>
    </row>
    <row r="8" spans="1:39" s="175" customFormat="1" ht="30">
      <c r="A8" s="214" t="s">
        <v>239</v>
      </c>
      <c r="B8" s="248">
        <v>1010</v>
      </c>
      <c r="C8" s="154">
        <f>'[36]Факт 2015'!$V$12-C30</f>
        <v>1129.6999999999996</v>
      </c>
      <c r="D8" s="166">
        <f>'[37]1.Фінансовий результат'!D11</f>
        <v>1568.6</v>
      </c>
      <c r="E8" s="166">
        <f>'[38]1.Фінансовий результат'!D11</f>
        <v>960.5</v>
      </c>
      <c r="F8" s="166">
        <f>'[39]1.Фінансовий результат'!D11</f>
        <v>1212.5</v>
      </c>
      <c r="G8" s="166">
        <f>'[40]1.Фінансовий результат'!H11</f>
        <v>1405.2</v>
      </c>
      <c r="H8" s="166">
        <f>G8</f>
        <v>1405.2</v>
      </c>
      <c r="I8" s="166">
        <v>1599.6</v>
      </c>
      <c r="J8" s="166">
        <f>'1.Фінансовий результат'!J11</f>
        <v>1754.8</v>
      </c>
      <c r="K8" s="166">
        <f>ROUND(('[42]ФП форма 3'!Z17-K30*1.2),1)</f>
        <v>419.6</v>
      </c>
      <c r="L8" s="166">
        <f>ROUND(('[42]ФП форма 3'!AD17-L30*1.2),1)</f>
        <v>372</v>
      </c>
      <c r="M8" s="166">
        <f>ROUND(('[42]ФП форма 3'!AH17-M30*1.2),1)</f>
        <v>379.7</v>
      </c>
      <c r="N8" s="342">
        <f>ROUND(('[42]ФП форма 3'!AL17-N30*1.2),1)</f>
        <v>428.3</v>
      </c>
      <c r="O8" s="118">
        <f t="shared" ref="O8:O71" si="1">J8-I8</f>
        <v>155.20000000000005</v>
      </c>
      <c r="P8" s="362" t="s">
        <v>377</v>
      </c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  <c r="AH8" s="254"/>
      <c r="AI8" s="254"/>
      <c r="AJ8" s="254"/>
      <c r="AK8" s="254"/>
      <c r="AL8" s="254"/>
      <c r="AM8" s="254"/>
    </row>
    <row r="9" spans="1:39" s="175" customFormat="1" ht="20.100000000000001" hidden="1" customHeight="1" outlineLevel="1">
      <c r="A9" s="214" t="s">
        <v>240</v>
      </c>
      <c r="B9" s="248">
        <v>1011</v>
      </c>
      <c r="C9" s="154"/>
      <c r="D9" s="166">
        <f>'[37]1.Фінансовий результат'!D12</f>
        <v>0</v>
      </c>
      <c r="E9" s="166">
        <f>'[38]1.Фінансовий результат'!D12</f>
        <v>0</v>
      </c>
      <c r="F9" s="166">
        <f>'[39]1.Фінансовий результат'!D12</f>
        <v>0</v>
      </c>
      <c r="G9" s="166">
        <f>'[40]1.Фінансовий результат'!H12</f>
        <v>0</v>
      </c>
      <c r="H9" s="166">
        <f>'[43]1.Фінансовий результат'!D12+'[44]1.Фінансовий результат'!L12+'[44]1.Фінансовий результат'!M12</f>
        <v>0</v>
      </c>
      <c r="I9" s="166"/>
      <c r="J9" s="166">
        <f>'1.Фінансовий результат'!J12</f>
        <v>0</v>
      </c>
      <c r="K9" s="204"/>
      <c r="L9" s="204"/>
      <c r="M9" s="204"/>
      <c r="N9" s="341"/>
      <c r="O9" s="118">
        <f t="shared" si="1"/>
        <v>0</v>
      </c>
      <c r="P9" s="390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4"/>
      <c r="AJ9" s="254"/>
      <c r="AK9" s="254"/>
      <c r="AL9" s="254"/>
      <c r="AM9" s="254"/>
    </row>
    <row r="10" spans="1:39" s="175" customFormat="1" ht="20.100000000000001" hidden="1" customHeight="1" outlineLevel="1">
      <c r="A10" s="214" t="s">
        <v>241</v>
      </c>
      <c r="B10" s="248">
        <v>1012</v>
      </c>
      <c r="C10" s="154">
        <f>'[36]Факт 2015'!$V$13</f>
        <v>2807.4</v>
      </c>
      <c r="D10" s="166">
        <f>'[37]1.Фінансовий результат'!D13</f>
        <v>6064.1</v>
      </c>
      <c r="E10" s="166">
        <f>'[38]1.Фінансовий результат'!D13</f>
        <v>9761.9</v>
      </c>
      <c r="F10" s="166">
        <f>SUM(F11:F12)</f>
        <v>10085.6</v>
      </c>
      <c r="G10" s="166">
        <f>SUM(G11:G12)</f>
        <v>12422.8</v>
      </c>
      <c r="H10" s="166">
        <f>SUM(H11:H12)</f>
        <v>12422.8</v>
      </c>
      <c r="I10" s="166">
        <v>18845.5</v>
      </c>
      <c r="J10" s="166">
        <f>'1.Фінансовий результат'!J13</f>
        <v>18845.5</v>
      </c>
      <c r="K10" s="166">
        <f>K11+K12</f>
        <v>5950.9</v>
      </c>
      <c r="L10" s="166">
        <f>L11+L12</f>
        <v>3770.1</v>
      </c>
      <c r="M10" s="166">
        <f>M11+M12</f>
        <v>3261.3</v>
      </c>
      <c r="N10" s="342">
        <f>N11+N12</f>
        <v>5863.2000000000007</v>
      </c>
      <c r="O10" s="118">
        <f t="shared" si="1"/>
        <v>0</v>
      </c>
      <c r="P10" s="390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</row>
    <row r="11" spans="1:39" s="247" customFormat="1" ht="18.75" hidden="1" customHeight="1" outlineLevel="1">
      <c r="A11" s="245" t="s">
        <v>349</v>
      </c>
      <c r="B11" s="246">
        <v>1</v>
      </c>
      <c r="C11" s="163">
        <f>'[36]Факт 2015'!$V$13</f>
        <v>2807.4</v>
      </c>
      <c r="D11" s="223">
        <v>6064.1</v>
      </c>
      <c r="E11" s="223">
        <f>'[38]1.Фінансовий результат'!$D$13</f>
        <v>9761.9</v>
      </c>
      <c r="F11" s="223">
        <f>'[39]1.Фінансовий результат'!D14</f>
        <v>10085.6</v>
      </c>
      <c r="G11" s="223">
        <f>'[40]1.Фінансовий результат'!H14</f>
        <v>12422.8</v>
      </c>
      <c r="H11" s="223">
        <f>G11</f>
        <v>12422.8</v>
      </c>
      <c r="I11" s="223">
        <v>18845.5</v>
      </c>
      <c r="J11" s="166">
        <f>'1.Фінансовий результат'!J14</f>
        <v>18845.5</v>
      </c>
      <c r="K11" s="223">
        <f>'[42]ФП форма 3'!Z18</f>
        <v>5950.9</v>
      </c>
      <c r="L11" s="223">
        <f>'[42]ФП форма 3'!AD18</f>
        <v>3770.1</v>
      </c>
      <c r="M11" s="223">
        <f>'[42]ФП форма 3'!AH18</f>
        <v>3261.3</v>
      </c>
      <c r="N11" s="343">
        <f>'[42]ФП форма 3'!AL18+0.1</f>
        <v>5863.2000000000007</v>
      </c>
      <c r="O11" s="118">
        <f t="shared" si="1"/>
        <v>0</v>
      </c>
      <c r="P11" s="390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</row>
    <row r="12" spans="1:39" s="247" customFormat="1" ht="19.5" hidden="1" customHeight="1" collapsed="1">
      <c r="A12" s="245"/>
      <c r="B12" s="246"/>
      <c r="C12" s="163"/>
      <c r="D12" s="223"/>
      <c r="E12" s="223"/>
      <c r="F12" s="166">
        <f>'[39]1.Фінансовий результат'!D15</f>
        <v>0</v>
      </c>
      <c r="G12" s="166">
        <f>'[40]1.Фінансовий результат'!H15</f>
        <v>0</v>
      </c>
      <c r="H12" s="223"/>
      <c r="I12" s="223"/>
      <c r="J12" s="166">
        <f>'1.Фінансовий результат'!J15</f>
        <v>0</v>
      </c>
      <c r="K12" s="223"/>
      <c r="L12" s="223"/>
      <c r="M12" s="223"/>
      <c r="N12" s="343"/>
      <c r="O12" s="118">
        <f t="shared" si="1"/>
        <v>0</v>
      </c>
      <c r="P12" s="390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</row>
    <row r="13" spans="1:39" s="175" customFormat="1" ht="45">
      <c r="A13" s="214" t="s">
        <v>237</v>
      </c>
      <c r="B13" s="248">
        <v>1020</v>
      </c>
      <c r="C13" s="154">
        <f>'[36]Факт 2015'!$V$15</f>
        <v>698.6</v>
      </c>
      <c r="D13" s="166">
        <f>'[37]1.Фінансовий результат'!D14</f>
        <v>1338.7</v>
      </c>
      <c r="E13" s="166">
        <f>'[38]1.Фінансовий результат'!$D$14</f>
        <v>1914.7</v>
      </c>
      <c r="F13" s="166">
        <f>'[39]1.Фінансовий результат'!D16</f>
        <v>2646.9</v>
      </c>
      <c r="G13" s="166">
        <f>'[40]1.Фінансовий результат'!H16</f>
        <v>2343.6999999999998</v>
      </c>
      <c r="H13" s="166">
        <f>G13</f>
        <v>2343.6999999999998</v>
      </c>
      <c r="I13" s="166">
        <v>3450.5</v>
      </c>
      <c r="J13" s="166">
        <f>'1.Фінансовий результат'!J16</f>
        <v>4341.2833333333328</v>
      </c>
      <c r="K13" s="166">
        <f>ROUND((K7+K30)/6,1)</f>
        <v>1072.5</v>
      </c>
      <c r="L13" s="166">
        <f>ROUND((L7+L30)/6,1)</f>
        <v>701.1</v>
      </c>
      <c r="M13" s="166">
        <f>ROUND((M7+M30)/6,1)</f>
        <v>617.6</v>
      </c>
      <c r="N13" s="342">
        <f>ROUND((N7+N30)/6,1)</f>
        <v>1059.3</v>
      </c>
      <c r="O13" s="118">
        <f t="shared" si="1"/>
        <v>890.78333333333285</v>
      </c>
      <c r="P13" s="391" t="s">
        <v>389</v>
      </c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</row>
    <row r="14" spans="1:39" s="175" customFormat="1" ht="20.100000000000001" hidden="1" customHeight="1" outlineLevel="1">
      <c r="A14" s="214" t="s">
        <v>238</v>
      </c>
      <c r="B14" s="248">
        <v>1030</v>
      </c>
      <c r="C14" s="160"/>
      <c r="D14" s="166">
        <f>'[37]1.Фінансовий результат'!D15</f>
        <v>0</v>
      </c>
      <c r="E14" s="166"/>
      <c r="F14" s="166">
        <f>'[39]1.Фінансовий результат'!D17</f>
        <v>0</v>
      </c>
      <c r="G14" s="166"/>
      <c r="H14" s="166"/>
      <c r="I14" s="166"/>
      <c r="J14" s="166">
        <f>'1.Фінансовий результат'!J17</f>
        <v>0</v>
      </c>
      <c r="K14" s="273"/>
      <c r="L14" s="273"/>
      <c r="M14" s="273"/>
      <c r="N14" s="344"/>
      <c r="O14" s="118">
        <f t="shared" si="1"/>
        <v>0</v>
      </c>
      <c r="P14" s="361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</row>
    <row r="15" spans="1:39" s="175" customFormat="1" ht="42" customHeight="1" collapsed="1">
      <c r="A15" s="335" t="s">
        <v>90</v>
      </c>
      <c r="B15" s="173">
        <v>1040</v>
      </c>
      <c r="C15" s="159">
        <f t="shared" ref="C15:N15" si="2">C7-C13-C14</f>
        <v>3238.4999999999995</v>
      </c>
      <c r="D15" s="204">
        <f t="shared" si="2"/>
        <v>6294.0000000000009</v>
      </c>
      <c r="E15" s="204">
        <f t="shared" si="2"/>
        <v>8807.6999999999989</v>
      </c>
      <c r="F15" s="204">
        <f t="shared" si="2"/>
        <v>8651.2000000000007</v>
      </c>
      <c r="G15" s="204">
        <f t="shared" si="2"/>
        <v>11484.3</v>
      </c>
      <c r="H15" s="204">
        <f>H7-H13-H14</f>
        <v>11484.3</v>
      </c>
      <c r="I15" s="204">
        <v>16994.599999999999</v>
      </c>
      <c r="J15" s="204">
        <f>'1.Фінансовий результат'!J18</f>
        <v>16259.016666666666</v>
      </c>
      <c r="K15" s="204">
        <f t="shared" si="2"/>
        <v>5298</v>
      </c>
      <c r="L15" s="204">
        <f t="shared" si="2"/>
        <v>3441.0000000000005</v>
      </c>
      <c r="M15" s="204">
        <f t="shared" si="2"/>
        <v>3023.4</v>
      </c>
      <c r="N15" s="341">
        <f t="shared" si="2"/>
        <v>5232.2000000000007</v>
      </c>
      <c r="O15" s="357">
        <f t="shared" si="1"/>
        <v>-735.58333333333212</v>
      </c>
      <c r="P15" s="361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</row>
    <row r="16" spans="1:39" s="174" customFormat="1" ht="37.5" customHeight="1">
      <c r="A16" s="335" t="s">
        <v>108</v>
      </c>
      <c r="B16" s="173">
        <v>1050</v>
      </c>
      <c r="C16" s="161">
        <f t="shared" ref="C16:N16" si="3">SUM(C17:C24)</f>
        <v>2969.8</v>
      </c>
      <c r="D16" s="168">
        <f t="shared" ref="D16:H16" si="4">SUM(D17:D24)</f>
        <v>6673</v>
      </c>
      <c r="E16" s="168">
        <f t="shared" si="4"/>
        <v>8763.0000000000018</v>
      </c>
      <c r="F16" s="168">
        <f t="shared" si="4"/>
        <v>12600.9</v>
      </c>
      <c r="G16" s="168">
        <f t="shared" si="4"/>
        <v>17011</v>
      </c>
      <c r="H16" s="168">
        <f t="shared" si="4"/>
        <v>17011</v>
      </c>
      <c r="I16" s="168">
        <v>24600.199999999997</v>
      </c>
      <c r="J16" s="204">
        <f>'1.Фінансовий результат'!J19</f>
        <v>23318.316666666666</v>
      </c>
      <c r="K16" s="168">
        <f t="shared" si="3"/>
        <v>7265.7</v>
      </c>
      <c r="L16" s="168">
        <f t="shared" si="3"/>
        <v>5574</v>
      </c>
      <c r="M16" s="168">
        <f t="shared" si="3"/>
        <v>5172.8999999999996</v>
      </c>
      <c r="N16" s="345">
        <f t="shared" si="3"/>
        <v>7378.9</v>
      </c>
      <c r="O16" s="357">
        <f t="shared" si="1"/>
        <v>-1281.8833333333314</v>
      </c>
      <c r="P16" s="361"/>
      <c r="Q16" s="249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</row>
    <row r="17" spans="1:39" s="177" customFormat="1" ht="20.100000000000001" hidden="1" customHeight="1" outlineLevel="1">
      <c r="A17" s="180" t="s">
        <v>210</v>
      </c>
      <c r="B17" s="215">
        <v>1051</v>
      </c>
      <c r="C17" s="154">
        <f>'[36]Факт 2015'!V28</f>
        <v>11.500000000000009</v>
      </c>
      <c r="D17" s="166">
        <f>'[37]1.Фінансовий результат'!D18</f>
        <v>26.9</v>
      </c>
      <c r="E17" s="166">
        <f>'[38]1.Фінансовий результат'!D18</f>
        <v>25.799999999999997</v>
      </c>
      <c r="F17" s="166">
        <f>'[39]1.Фінансовий результат'!D20</f>
        <v>19.899999999999999</v>
      </c>
      <c r="G17" s="166">
        <f>'[40]1.Фінансовий результат'!H20</f>
        <v>11.2</v>
      </c>
      <c r="H17" s="166">
        <f t="shared" ref="H17:H23" si="5">G17</f>
        <v>11.2</v>
      </c>
      <c r="I17" s="166">
        <v>12.4</v>
      </c>
      <c r="J17" s="166">
        <f>'1.Фінансовий результат'!J20</f>
        <v>12.4</v>
      </c>
      <c r="K17" s="166">
        <f>'[42]ФП форма 3'!Z33</f>
        <v>3.1</v>
      </c>
      <c r="L17" s="166">
        <f>$K$17</f>
        <v>3.1</v>
      </c>
      <c r="M17" s="166">
        <f t="shared" ref="M17:N17" si="6">$K$17</f>
        <v>3.1</v>
      </c>
      <c r="N17" s="342">
        <f t="shared" si="6"/>
        <v>3.1</v>
      </c>
      <c r="O17" s="118">
        <f t="shared" si="1"/>
        <v>0</v>
      </c>
      <c r="P17" s="361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</row>
    <row r="18" spans="1:39" s="177" customFormat="1" ht="20.100000000000001" hidden="1" customHeight="1" outlineLevel="1">
      <c r="A18" s="180" t="s">
        <v>51</v>
      </c>
      <c r="B18" s="215">
        <v>1052</v>
      </c>
      <c r="C18" s="154">
        <f>'[36]Факт 2015'!V29</f>
        <v>45.1</v>
      </c>
      <c r="D18" s="166">
        <f>'[37]1.Фінансовий результат'!D19</f>
        <v>22.600000000000005</v>
      </c>
      <c r="E18" s="166">
        <f>'[38]1.Фінансовий результат'!D19</f>
        <v>47.8</v>
      </c>
      <c r="F18" s="166">
        <f>'[39]1.Фінансовий результат'!D21</f>
        <v>50.1</v>
      </c>
      <c r="G18" s="166">
        <f>'[40]1.Фінансовий результат'!H21</f>
        <v>87.2</v>
      </c>
      <c r="H18" s="166">
        <f t="shared" si="5"/>
        <v>87.2</v>
      </c>
      <c r="I18" s="166">
        <v>161.6</v>
      </c>
      <c r="J18" s="166">
        <f>'1.Фінансовий результат'!J21</f>
        <v>161.6</v>
      </c>
      <c r="K18" s="166">
        <f>ROUND([42]Фінпідтримка!M74/1.2,1)</f>
        <v>40.4</v>
      </c>
      <c r="L18" s="166">
        <f>ROUND([42]Фінпідтримка!P74/1.2,1)</f>
        <v>40.4</v>
      </c>
      <c r="M18" s="166">
        <f>ROUND([42]Фінпідтримка!S74/1.2,1)</f>
        <v>40.4</v>
      </c>
      <c r="N18" s="342">
        <f>ROUND([42]Фінпідтримка!V74/1.2,1)</f>
        <v>40.4</v>
      </c>
      <c r="O18" s="118">
        <f t="shared" si="1"/>
        <v>0</v>
      </c>
      <c r="P18" s="361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</row>
    <row r="19" spans="1:39" s="177" customFormat="1" ht="20.100000000000001" hidden="1" customHeight="1" outlineLevel="1">
      <c r="A19" s="180" t="s">
        <v>50</v>
      </c>
      <c r="B19" s="215">
        <v>1053</v>
      </c>
      <c r="C19" s="154">
        <f>'[36]Факт 2015'!V30-C60</f>
        <v>2385.4</v>
      </c>
      <c r="D19" s="166">
        <f>'[37]1.Фінансовий результат'!D20</f>
        <v>4748</v>
      </c>
      <c r="E19" s="166">
        <f>'[38]1.Фінансовий результат'!D20</f>
        <v>8149.2000000000007</v>
      </c>
      <c r="F19" s="166">
        <f>'[39]1.Фінансовий результат'!D22</f>
        <v>8426.9000000000015</v>
      </c>
      <c r="G19" s="166">
        <f>'[40]1.Фінансовий результат'!H22</f>
        <v>10605</v>
      </c>
      <c r="H19" s="166">
        <f t="shared" si="5"/>
        <v>10605</v>
      </c>
      <c r="I19" s="166">
        <v>15967.3</v>
      </c>
      <c r="J19" s="166">
        <f>'1.Фінансовий результат'!J22</f>
        <v>15967.3</v>
      </c>
      <c r="K19" s="166">
        <f>'[42]ФП форма 3'!Z35-K60</f>
        <v>5038</v>
      </c>
      <c r="L19" s="166">
        <f>'[42]ФП форма 3'!AD35-L60</f>
        <v>3188.8</v>
      </c>
      <c r="M19" s="166">
        <f>'[42]ФП форма 3'!AH35-M60</f>
        <v>2769.9</v>
      </c>
      <c r="N19" s="342">
        <f>'[42]ФП форма 3'!AL35-N60</f>
        <v>4970.6000000000004</v>
      </c>
      <c r="O19" s="118">
        <f t="shared" si="1"/>
        <v>0</v>
      </c>
      <c r="P19" s="361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</row>
    <row r="20" spans="1:39" s="177" customFormat="1" collapsed="1">
      <c r="A20" s="180" t="s">
        <v>26</v>
      </c>
      <c r="B20" s="215">
        <v>1054</v>
      </c>
      <c r="C20" s="154">
        <f>'[36]Факт 2015'!V31</f>
        <v>329</v>
      </c>
      <c r="D20" s="166">
        <f>'[37]1.Фінансовий результат'!D21-228.5</f>
        <v>257.59999999999997</v>
      </c>
      <c r="E20" s="166">
        <f>'[38]1.Фінансовий результат'!$D$21-321.5</f>
        <v>312.60000000000002</v>
      </c>
      <c r="F20" s="166">
        <f>'[39]1.Фінансовий результат'!D23</f>
        <v>397.5</v>
      </c>
      <c r="G20" s="166">
        <f>'[40]1.Фінансовий результат'!H23</f>
        <v>527.1</v>
      </c>
      <c r="H20" s="166">
        <f t="shared" si="5"/>
        <v>527.1</v>
      </c>
      <c r="I20" s="166">
        <v>1258.3</v>
      </c>
      <c r="J20" s="166">
        <f>'1.Фінансовий результат'!J23</f>
        <v>1979.2</v>
      </c>
      <c r="K20" s="166">
        <f>'[42]ФП форма 3'!Z36-26.2+64.8</f>
        <v>371.6</v>
      </c>
      <c r="L20" s="166">
        <f>'[42]ФП форма 3'!AD36-26.2+194</f>
        <v>500.8</v>
      </c>
      <c r="M20" s="166">
        <f>'[42]ФП форма 3'!AH36-26.3+194.6</f>
        <v>515.1</v>
      </c>
      <c r="N20" s="342">
        <f>'[42]ФП форма 3'!AL36-26.3+195.3</f>
        <v>519.5</v>
      </c>
      <c r="O20" s="118">
        <f t="shared" si="1"/>
        <v>720.90000000000009</v>
      </c>
      <c r="P20" s="506" t="s">
        <v>378</v>
      </c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</row>
    <row r="21" spans="1:39" s="177" customFormat="1">
      <c r="A21" s="180" t="s">
        <v>27</v>
      </c>
      <c r="B21" s="215">
        <v>1055</v>
      </c>
      <c r="C21" s="154">
        <f>'[36]Факт 2015'!V32</f>
        <v>120</v>
      </c>
      <c r="D21" s="166">
        <f>'[37]1.Фінансовий результат'!D22-50.7</f>
        <v>57.200000000000017</v>
      </c>
      <c r="E21" s="166">
        <f>'[38]1.Фінансовий результат'!$D$22-71.9</f>
        <v>68.099999999999994</v>
      </c>
      <c r="F21" s="166">
        <f>'[39]1.Фінансовий результат'!D24</f>
        <v>87.3</v>
      </c>
      <c r="G21" s="166">
        <f>'[40]1.Фінансовий результат'!H24</f>
        <v>116.1</v>
      </c>
      <c r="H21" s="166">
        <f t="shared" si="5"/>
        <v>116.1</v>
      </c>
      <c r="I21" s="166">
        <v>277</v>
      </c>
      <c r="J21" s="166">
        <f>'1.Фінансовий результат'!J24</f>
        <v>419.59999999999997</v>
      </c>
      <c r="K21" s="166">
        <f>'[42]ФП форма 3'!Z37-5.7+14.2</f>
        <v>81.7</v>
      </c>
      <c r="L21" s="166">
        <f>'[42]ФП форма 3'!AD37-5.7+42.6</f>
        <v>110</v>
      </c>
      <c r="M21" s="166">
        <f>'[42]ФП форма 3'!AH37-5.7+42.8</f>
        <v>113.49999999999999</v>
      </c>
      <c r="N21" s="342">
        <f>'[42]ФП форма 3'!AL37-5.7+43</f>
        <v>114.39999999999999</v>
      </c>
      <c r="O21" s="118">
        <f t="shared" si="1"/>
        <v>142.59999999999997</v>
      </c>
      <c r="P21" s="507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4"/>
    </row>
    <row r="22" spans="1:39" s="177" customFormat="1" ht="75">
      <c r="A22" s="180" t="s">
        <v>320</v>
      </c>
      <c r="B22" s="215">
        <v>1056</v>
      </c>
      <c r="C22" s="154"/>
      <c r="D22" s="166">
        <f>'[37]1.Фінансовий результат'!D23</f>
        <v>772.2</v>
      </c>
      <c r="E22" s="166">
        <f>'[38]1.Фінансовий результат'!D23</f>
        <v>113.6</v>
      </c>
      <c r="F22" s="166">
        <f>'[39]1.Фінансовий результат'!D25</f>
        <v>27.9</v>
      </c>
      <c r="G22" s="166">
        <f>'[40]1.Фінансовий результат'!H25</f>
        <v>204.4</v>
      </c>
      <c r="H22" s="166">
        <f t="shared" si="5"/>
        <v>204.4</v>
      </c>
      <c r="I22" s="166">
        <v>375.2</v>
      </c>
      <c r="J22" s="166">
        <f>'1.Фінансовий результат'!J25</f>
        <v>210.2</v>
      </c>
      <c r="K22" s="166">
        <f>ROUND([42]Фінпідтримка!M75/1.2,1)</f>
        <v>93.8</v>
      </c>
      <c r="L22" s="166">
        <f>ROUND([42]Фінпідтримка!P75/1.2,1)</f>
        <v>93.8</v>
      </c>
      <c r="M22" s="166">
        <f>ROUND([42]Фінпідтримка!S75/1.2,1)</f>
        <v>93.8</v>
      </c>
      <c r="N22" s="342">
        <f>ROUND([42]Фінпідтримка!V75/1.2,1)</f>
        <v>93.8</v>
      </c>
      <c r="O22" s="118">
        <f t="shared" si="1"/>
        <v>-165</v>
      </c>
      <c r="P22" s="362" t="s">
        <v>392</v>
      </c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</row>
    <row r="23" spans="1:39" s="177" customFormat="1" ht="37.5" hidden="1" outlineLevel="1">
      <c r="A23" s="180" t="s">
        <v>49</v>
      </c>
      <c r="B23" s="215">
        <v>1057</v>
      </c>
      <c r="C23" s="154">
        <f>'[36]Факт 2015'!V33-C84</f>
        <v>69.400000000000091</v>
      </c>
      <c r="D23" s="166">
        <f>'[37]1.Фінансовий результат'!D24-D84</f>
        <v>767.00000000000045</v>
      </c>
      <c r="E23" s="166">
        <v>22.8</v>
      </c>
      <c r="F23" s="166">
        <f>'[39]1.Фінансовий результат'!D26</f>
        <v>156.9</v>
      </c>
      <c r="G23" s="166">
        <f>'[40]1.Фінансовий результат'!H26</f>
        <v>22.8</v>
      </c>
      <c r="H23" s="166">
        <f t="shared" si="5"/>
        <v>22.8</v>
      </c>
      <c r="I23" s="166">
        <v>22.8</v>
      </c>
      <c r="J23" s="166">
        <f>'1.Фінансовий результат'!J26</f>
        <v>22.8</v>
      </c>
      <c r="K23" s="166">
        <v>5.7</v>
      </c>
      <c r="L23" s="166">
        <v>5.7</v>
      </c>
      <c r="M23" s="166">
        <v>5.7</v>
      </c>
      <c r="N23" s="342">
        <v>5.7</v>
      </c>
      <c r="O23" s="118">
        <f t="shared" si="1"/>
        <v>0</v>
      </c>
      <c r="P23" s="361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</row>
    <row r="24" spans="1:39" s="177" customFormat="1" ht="20.100000000000001" customHeight="1" collapsed="1">
      <c r="A24" s="180" t="s">
        <v>106</v>
      </c>
      <c r="B24" s="215">
        <v>1058</v>
      </c>
      <c r="C24" s="154">
        <f>SUM(C25:C25)</f>
        <v>9.4</v>
      </c>
      <c r="D24" s="166">
        <f>SUM(D25:D25)</f>
        <v>21.5</v>
      </c>
      <c r="E24" s="166">
        <f t="shared" ref="E24:N24" si="7">SUM(E25:E26)</f>
        <v>23.1</v>
      </c>
      <c r="F24" s="166">
        <f t="shared" si="7"/>
        <v>3434.4</v>
      </c>
      <c r="G24" s="166">
        <f t="shared" si="7"/>
        <v>5437.2</v>
      </c>
      <c r="H24" s="166">
        <f t="shared" si="7"/>
        <v>5437.2</v>
      </c>
      <c r="I24" s="166">
        <v>6525.5999999999995</v>
      </c>
      <c r="J24" s="166">
        <f>'1.Фінансовий результат'!J27</f>
        <v>4545.2166666666662</v>
      </c>
      <c r="K24" s="166">
        <f t="shared" si="7"/>
        <v>1631.3999999999999</v>
      </c>
      <c r="L24" s="166">
        <f t="shared" si="7"/>
        <v>1631.3999999999999</v>
      </c>
      <c r="M24" s="166">
        <f t="shared" si="7"/>
        <v>1631.3999999999999</v>
      </c>
      <c r="N24" s="342">
        <f t="shared" si="7"/>
        <v>1631.3999999999999</v>
      </c>
      <c r="O24" s="118">
        <f t="shared" si="1"/>
        <v>-1980.3833333333332</v>
      </c>
      <c r="P24" s="506" t="s">
        <v>388</v>
      </c>
      <c r="R24" s="254"/>
      <c r="S24" s="254"/>
      <c r="T24" s="254"/>
      <c r="U24" s="254"/>
      <c r="V24" s="254"/>
      <c r="W24" s="254"/>
      <c r="X24" s="254"/>
      <c r="Y24" s="254"/>
      <c r="Z24" s="254"/>
      <c r="AA24" s="254"/>
      <c r="AB24" s="254"/>
      <c r="AC24" s="254"/>
      <c r="AD24" s="254"/>
      <c r="AE24" s="254"/>
      <c r="AF24" s="254"/>
      <c r="AG24" s="254"/>
      <c r="AH24" s="254"/>
      <c r="AI24" s="254"/>
      <c r="AJ24" s="254"/>
      <c r="AK24" s="254"/>
      <c r="AL24" s="254"/>
      <c r="AM24" s="254"/>
    </row>
    <row r="25" spans="1:39" s="222" customFormat="1" ht="20.100000000000001" hidden="1" customHeight="1" outlineLevel="1">
      <c r="A25" s="221" t="s">
        <v>287</v>
      </c>
      <c r="B25" s="218">
        <v>1</v>
      </c>
      <c r="C25" s="163">
        <f>'[36]Факт 2015'!V38</f>
        <v>9.4</v>
      </c>
      <c r="D25" s="223">
        <f>'[37]1.Фінансовий результат'!D30</f>
        <v>21.5</v>
      </c>
      <c r="E25" s="223">
        <f>'[38]1.Фінансовий результат'!$D$30</f>
        <v>23.1</v>
      </c>
      <c r="F25" s="223">
        <f>'[39]1.Фінансовий результат'!D28</f>
        <v>31.299999999999997</v>
      </c>
      <c r="G25" s="223">
        <f>'[40]1.Фінансовий результат'!H28</f>
        <v>37.200000000000003</v>
      </c>
      <c r="H25" s="166">
        <f t="shared" ref="H25:H26" si="8">G25</f>
        <v>37.200000000000003</v>
      </c>
      <c r="I25" s="223">
        <v>40.799999999999997</v>
      </c>
      <c r="J25" s="223">
        <f>'1.Фінансовий результат'!J28</f>
        <v>40.799999999999997</v>
      </c>
      <c r="K25" s="223">
        <f>'[42]ФП форма 3'!Z43</f>
        <v>10.199999999999999</v>
      </c>
      <c r="L25" s="223">
        <f>'[42]ФП форма 3'!AD43</f>
        <v>10.199999999999999</v>
      </c>
      <c r="M25" s="223">
        <f>'[42]ФП форма 3'!AH43</f>
        <v>10.199999999999999</v>
      </c>
      <c r="N25" s="343">
        <f>'[42]ФП форма 3'!AL43</f>
        <v>10.199999999999999</v>
      </c>
      <c r="O25" s="118">
        <f t="shared" si="1"/>
        <v>0</v>
      </c>
      <c r="P25" s="508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4"/>
      <c r="AG25" s="254"/>
      <c r="AH25" s="254"/>
      <c r="AI25" s="254"/>
      <c r="AJ25" s="254"/>
      <c r="AK25" s="254"/>
      <c r="AL25" s="254"/>
      <c r="AM25" s="254"/>
    </row>
    <row r="26" spans="1:39" s="222" customFormat="1" ht="33" collapsed="1">
      <c r="A26" s="221" t="s">
        <v>351</v>
      </c>
      <c r="B26" s="218">
        <v>2</v>
      </c>
      <c r="C26" s="163">
        <f>'[36]Факт 2015'!V39</f>
        <v>0</v>
      </c>
      <c r="D26" s="223">
        <f>'[37]1.Фінансовий результат'!D31</f>
        <v>0</v>
      </c>
      <c r="E26" s="223"/>
      <c r="F26" s="223">
        <f>'[39]1.Фінансовий результат'!D29</f>
        <v>3403.1</v>
      </c>
      <c r="G26" s="223">
        <f>'[40]1.Фінансовий результат'!H29</f>
        <v>5400</v>
      </c>
      <c r="H26" s="166">
        <f t="shared" si="8"/>
        <v>5400</v>
      </c>
      <c r="I26" s="223">
        <v>6484.7999999999993</v>
      </c>
      <c r="J26" s="223">
        <f>'1.Фінансовий результат'!J29</f>
        <v>4504.4166666666661</v>
      </c>
      <c r="K26" s="219">
        <f>K93</f>
        <v>1621.1999999999998</v>
      </c>
      <c r="L26" s="219">
        <f>L93</f>
        <v>1621.1999999999998</v>
      </c>
      <c r="M26" s="219">
        <f>M93</f>
        <v>1621.1999999999998</v>
      </c>
      <c r="N26" s="346">
        <f>N93</f>
        <v>1621.1999999999998</v>
      </c>
      <c r="O26" s="359">
        <f t="shared" si="1"/>
        <v>-1980.3833333333332</v>
      </c>
      <c r="P26" s="507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</row>
    <row r="27" spans="1:39" s="106" customFormat="1" ht="31.5" customHeight="1">
      <c r="A27" s="104" t="s">
        <v>256</v>
      </c>
      <c r="B27" s="105">
        <v>1060</v>
      </c>
      <c r="C27" s="153">
        <f t="shared" ref="C27:N27" si="9">C15-C16</f>
        <v>268.69999999999936</v>
      </c>
      <c r="D27" s="124">
        <f t="shared" si="9"/>
        <v>-378.99999999999909</v>
      </c>
      <c r="E27" s="124">
        <f t="shared" si="9"/>
        <v>44.69999999999709</v>
      </c>
      <c r="F27" s="124">
        <f t="shared" si="9"/>
        <v>-3949.6999999999989</v>
      </c>
      <c r="G27" s="124">
        <f t="shared" si="9"/>
        <v>-5526.7000000000007</v>
      </c>
      <c r="H27" s="124">
        <f t="shared" si="9"/>
        <v>-5526.7000000000007</v>
      </c>
      <c r="I27" s="124">
        <v>-7605.5999999999985</v>
      </c>
      <c r="J27" s="124">
        <f>'1.Фінансовий результат'!J30</f>
        <v>-7059.2999999999993</v>
      </c>
      <c r="K27" s="124">
        <f t="shared" si="9"/>
        <v>-1967.6999999999998</v>
      </c>
      <c r="L27" s="124">
        <f t="shared" si="9"/>
        <v>-2132.9999999999995</v>
      </c>
      <c r="M27" s="124">
        <f t="shared" si="9"/>
        <v>-2149.4999999999995</v>
      </c>
      <c r="N27" s="124">
        <f t="shared" si="9"/>
        <v>-2146.6999999999989</v>
      </c>
      <c r="O27" s="358">
        <f t="shared" si="1"/>
        <v>546.29999999999927</v>
      </c>
      <c r="P27" s="363"/>
      <c r="Q27" s="222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</row>
    <row r="28" spans="1:39" ht="37.5" hidden="1" outlineLevel="1">
      <c r="A28" s="334" t="s">
        <v>174</v>
      </c>
      <c r="B28" s="11">
        <v>1070</v>
      </c>
      <c r="C28" s="161">
        <f t="shared" ref="C28:N28" si="10">SUM(C29:C31)</f>
        <v>954.09999999999991</v>
      </c>
      <c r="D28" s="168">
        <f t="shared" si="10"/>
        <v>1611.8999999999999</v>
      </c>
      <c r="E28" s="168">
        <f t="shared" si="10"/>
        <v>2583.8000000000002</v>
      </c>
      <c r="F28" s="168">
        <f t="shared" si="10"/>
        <v>2946.5999999999995</v>
      </c>
      <c r="G28" s="168">
        <f t="shared" si="10"/>
        <v>3447.5</v>
      </c>
      <c r="H28" s="168">
        <f t="shared" si="10"/>
        <v>3447.5</v>
      </c>
      <c r="I28" s="168">
        <v>4509.8</v>
      </c>
      <c r="J28" s="204">
        <f>'1.Фінансовий результат'!J31</f>
        <v>4509.8</v>
      </c>
      <c r="K28" s="127">
        <f t="shared" si="10"/>
        <v>1030.8</v>
      </c>
      <c r="L28" s="127">
        <f t="shared" si="10"/>
        <v>1079.3</v>
      </c>
      <c r="M28" s="127">
        <f t="shared" si="10"/>
        <v>1161.3000000000002</v>
      </c>
      <c r="N28" s="347">
        <f t="shared" si="10"/>
        <v>1238.4000000000001</v>
      </c>
      <c r="O28" s="357">
        <f t="shared" si="1"/>
        <v>0</v>
      </c>
      <c r="P28" s="361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</row>
    <row r="29" spans="1:39" s="220" customFormat="1" ht="20.100000000000001" hidden="1" customHeight="1" outlineLevel="1">
      <c r="A29" s="217" t="s">
        <v>301</v>
      </c>
      <c r="B29" s="218">
        <v>1</v>
      </c>
      <c r="C29" s="164">
        <f>'[36]Факт 2015'!$V$23</f>
        <v>699.3</v>
      </c>
      <c r="D29" s="223">
        <f>'[37]1.Фінансовий результат'!D38</f>
        <v>1296.5999999999999</v>
      </c>
      <c r="E29" s="223">
        <f>'[38]1.Фінансовий результат'!D38</f>
        <v>2240.3000000000002</v>
      </c>
      <c r="F29" s="223">
        <f>'[39]1.Фінансовий результат'!D32</f>
        <v>2666.3999999999996</v>
      </c>
      <c r="G29" s="223">
        <f>'[40]1.Фінансовий результат'!H32</f>
        <v>3213.5</v>
      </c>
      <c r="H29" s="223">
        <f t="shared" ref="H29:H53" si="11">G29</f>
        <v>3213.5</v>
      </c>
      <c r="I29" s="166">
        <v>4252.2</v>
      </c>
      <c r="J29" s="166">
        <f>'1.Фінансовий результат'!J32</f>
        <v>4252.2</v>
      </c>
      <c r="K29" s="223">
        <f>'[42]ФП форма 3'!Z28</f>
        <v>966.4</v>
      </c>
      <c r="L29" s="223">
        <f>'[42]ФП форма 3'!AD28</f>
        <v>1014.9</v>
      </c>
      <c r="M29" s="223">
        <f>'[42]ФП форма 3'!AH28</f>
        <v>1096.9000000000001</v>
      </c>
      <c r="N29" s="343">
        <f>'[42]ФП форма 3'!AL28</f>
        <v>1174</v>
      </c>
      <c r="O29" s="118">
        <f t="shared" si="1"/>
        <v>0</v>
      </c>
      <c r="P29" s="361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</row>
    <row r="30" spans="1:39" s="220" customFormat="1" ht="20.100000000000001" hidden="1" customHeight="1" outlineLevel="1">
      <c r="A30" s="217" t="s">
        <v>308</v>
      </c>
      <c r="B30" s="218">
        <v>2</v>
      </c>
      <c r="C30" s="164">
        <v>254.8</v>
      </c>
      <c r="D30" s="223">
        <f>'[37]1.Фінансовий результат'!D39</f>
        <v>314.5</v>
      </c>
      <c r="E30" s="223">
        <f>'[38]1.Фінансовий результат'!D39</f>
        <v>342.7</v>
      </c>
      <c r="F30" s="223">
        <f>'[39]1.Фінансовий результат'!D33</f>
        <v>276.5</v>
      </c>
      <c r="G30" s="223">
        <f>'[40]1.Фінансовий результат'!H33</f>
        <v>234</v>
      </c>
      <c r="H30" s="223">
        <f t="shared" si="11"/>
        <v>234</v>
      </c>
      <c r="I30" s="166">
        <v>257.60000000000002</v>
      </c>
      <c r="J30" s="166">
        <f>'1.Фінансовий результат'!J33</f>
        <v>257.60000000000002</v>
      </c>
      <c r="K30" s="219">
        <f>'[42]бюджет доходів'!$H$67</f>
        <v>64.400000000000006</v>
      </c>
      <c r="L30" s="219">
        <f>K30</f>
        <v>64.400000000000006</v>
      </c>
      <c r="M30" s="219">
        <f>L30</f>
        <v>64.400000000000006</v>
      </c>
      <c r="N30" s="346">
        <f>M30</f>
        <v>64.400000000000006</v>
      </c>
      <c r="O30" s="118">
        <f t="shared" si="1"/>
        <v>0</v>
      </c>
      <c r="P30" s="361"/>
      <c r="R30" s="254"/>
      <c r="S30" s="254"/>
      <c r="T30" s="254"/>
      <c r="U30" s="254"/>
      <c r="V30" s="254"/>
      <c r="W30" s="254"/>
      <c r="X30" s="254"/>
      <c r="Y30" s="254"/>
      <c r="Z30" s="254"/>
      <c r="AA30" s="254"/>
      <c r="AB30" s="254"/>
      <c r="AC30" s="254"/>
      <c r="AD30" s="254"/>
      <c r="AE30" s="254"/>
      <c r="AF30" s="254"/>
      <c r="AG30" s="254"/>
      <c r="AH30" s="254"/>
      <c r="AI30" s="254"/>
      <c r="AJ30" s="254"/>
      <c r="AK30" s="254"/>
      <c r="AL30" s="254"/>
      <c r="AM30" s="254"/>
    </row>
    <row r="31" spans="1:39" s="220" customFormat="1" ht="20.100000000000001" hidden="1" customHeight="1" outlineLevel="1">
      <c r="A31" s="217" t="s">
        <v>307</v>
      </c>
      <c r="B31" s="218">
        <v>3</v>
      </c>
      <c r="C31" s="164"/>
      <c r="D31" s="223">
        <f>'[37]1.Фінансовий результат'!D40</f>
        <v>0.8</v>
      </c>
      <c r="E31" s="223">
        <f>'[38]1.Фінансовий результат'!D40</f>
        <v>0.8</v>
      </c>
      <c r="F31" s="223">
        <f>'[39]1.Фінансовий результат'!D34</f>
        <v>3.7</v>
      </c>
      <c r="G31" s="223">
        <f>'[40]1.Фінансовий результат'!H34</f>
        <v>0</v>
      </c>
      <c r="H31" s="223">
        <f t="shared" si="11"/>
        <v>0</v>
      </c>
      <c r="I31" s="166">
        <v>0</v>
      </c>
      <c r="J31" s="166">
        <f>'1.Фінансовий результат'!J34</f>
        <v>0</v>
      </c>
      <c r="K31" s="219"/>
      <c r="L31" s="219"/>
      <c r="M31" s="219"/>
      <c r="N31" s="346"/>
      <c r="O31" s="118">
        <f t="shared" si="1"/>
        <v>0</v>
      </c>
      <c r="P31" s="361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</row>
    <row r="32" spans="1:39" s="174" customFormat="1" ht="20.100000000000001" customHeight="1" collapsed="1">
      <c r="A32" s="335" t="s">
        <v>181</v>
      </c>
      <c r="B32" s="173">
        <v>1080</v>
      </c>
      <c r="C32" s="159">
        <f t="shared" ref="C32:M32" si="12">SUM(C33:C55)</f>
        <v>873.69999999999993</v>
      </c>
      <c r="D32" s="204">
        <f t="shared" si="12"/>
        <v>1267.9000000000001</v>
      </c>
      <c r="E32" s="204">
        <f t="shared" si="12"/>
        <v>1600.8</v>
      </c>
      <c r="F32" s="204">
        <f t="shared" si="12"/>
        <v>2014.2000000000003</v>
      </c>
      <c r="G32" s="204">
        <f t="shared" si="12"/>
        <v>2523.3999999999996</v>
      </c>
      <c r="H32" s="204">
        <f t="shared" si="12"/>
        <v>2523.3999999999996</v>
      </c>
      <c r="I32" s="204">
        <v>3030.4</v>
      </c>
      <c r="J32" s="204">
        <f>'1.Фінансовий результат'!J35</f>
        <v>5164.7000000000016</v>
      </c>
      <c r="K32" s="204">
        <f t="shared" si="12"/>
        <v>956.09999999999991</v>
      </c>
      <c r="L32" s="204">
        <f t="shared" si="12"/>
        <v>1269.4000000000001</v>
      </c>
      <c r="M32" s="204">
        <f t="shared" si="12"/>
        <v>1299.0999999999999</v>
      </c>
      <c r="N32" s="341">
        <f>SUM(N33:N55)</f>
        <v>1307.0999999999999</v>
      </c>
      <c r="O32" s="357">
        <f t="shared" si="1"/>
        <v>2134.3000000000015</v>
      </c>
      <c r="P32" s="361"/>
      <c r="Q32" s="250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</row>
    <row r="33" spans="1:39" s="174" customFormat="1" ht="37.5" hidden="1" outlineLevel="1">
      <c r="A33" s="180" t="s">
        <v>89</v>
      </c>
      <c r="B33" s="215">
        <v>1081</v>
      </c>
      <c r="C33" s="165"/>
      <c r="D33" s="166">
        <f>'[37]1.Фінансовий результат'!D42</f>
        <v>0</v>
      </c>
      <c r="E33" s="166">
        <f>'[45]1.Фінансовий результат'!D42+'[46]1.Фінансовий результат'!K42</f>
        <v>0</v>
      </c>
      <c r="F33" s="166">
        <f>'[39]1.Фінансовий результат'!D36</f>
        <v>0</v>
      </c>
      <c r="G33" s="166">
        <f>'[47]1.Фінансовий результат'!G33</f>
        <v>0</v>
      </c>
      <c r="H33" s="223">
        <f t="shared" si="11"/>
        <v>0</v>
      </c>
      <c r="I33" s="223">
        <v>0</v>
      </c>
      <c r="J33" s="166">
        <f>'1.Фінансовий результат'!J36</f>
        <v>0</v>
      </c>
      <c r="K33" s="166"/>
      <c r="L33" s="166"/>
      <c r="M33" s="166"/>
      <c r="N33" s="342"/>
      <c r="O33" s="118">
        <f t="shared" si="1"/>
        <v>0</v>
      </c>
      <c r="P33" s="361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</row>
    <row r="34" spans="1:39" s="174" customFormat="1" ht="20.100000000000001" hidden="1" customHeight="1" outlineLevel="1">
      <c r="A34" s="180" t="s">
        <v>171</v>
      </c>
      <c r="B34" s="215">
        <v>1082</v>
      </c>
      <c r="C34" s="165"/>
      <c r="D34" s="166">
        <f>'[37]1.Фінансовий результат'!D43</f>
        <v>0</v>
      </c>
      <c r="E34" s="166">
        <f>'[45]1.Фінансовий результат'!D43+'[46]1.Фінансовий результат'!K43</f>
        <v>0</v>
      </c>
      <c r="F34" s="166">
        <f>'[39]1.Фінансовий результат'!D37</f>
        <v>0</v>
      </c>
      <c r="G34" s="166">
        <f>'[47]1.Фінансовий результат'!G34</f>
        <v>0</v>
      </c>
      <c r="H34" s="223">
        <f t="shared" si="11"/>
        <v>0</v>
      </c>
      <c r="I34" s="223">
        <v>0</v>
      </c>
      <c r="J34" s="166">
        <f>'1.Фінансовий результат'!J37</f>
        <v>0</v>
      </c>
      <c r="K34" s="166"/>
      <c r="L34" s="166"/>
      <c r="M34" s="166"/>
      <c r="N34" s="342"/>
      <c r="O34" s="118">
        <f t="shared" si="1"/>
        <v>0</v>
      </c>
      <c r="P34" s="361"/>
      <c r="R34" s="254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4"/>
      <c r="AD34" s="254"/>
      <c r="AE34" s="254"/>
      <c r="AF34" s="254"/>
      <c r="AG34" s="254"/>
      <c r="AH34" s="254"/>
      <c r="AI34" s="254"/>
      <c r="AJ34" s="254"/>
      <c r="AK34" s="254"/>
      <c r="AL34" s="254"/>
      <c r="AM34" s="254"/>
    </row>
    <row r="35" spans="1:39" s="174" customFormat="1" ht="20.100000000000001" hidden="1" customHeight="1" outlineLevel="1">
      <c r="A35" s="180" t="s">
        <v>48</v>
      </c>
      <c r="B35" s="215">
        <v>1083</v>
      </c>
      <c r="C35" s="165"/>
      <c r="D35" s="166">
        <f>'[37]1.Фінансовий результат'!D44</f>
        <v>0</v>
      </c>
      <c r="E35" s="166">
        <f>'[45]1.Фінансовий результат'!D44+'[46]1.Фінансовий результат'!K44</f>
        <v>0</v>
      </c>
      <c r="F35" s="166">
        <f>'[39]1.Фінансовий результат'!D38</f>
        <v>0</v>
      </c>
      <c r="G35" s="166">
        <f>'[47]1.Фінансовий результат'!G35</f>
        <v>0</v>
      </c>
      <c r="H35" s="223">
        <f t="shared" si="11"/>
        <v>0</v>
      </c>
      <c r="I35" s="223">
        <v>0</v>
      </c>
      <c r="J35" s="166">
        <f>'1.Фінансовий результат'!J38</f>
        <v>0</v>
      </c>
      <c r="K35" s="166"/>
      <c r="L35" s="166"/>
      <c r="M35" s="166"/>
      <c r="N35" s="342"/>
      <c r="O35" s="118">
        <f t="shared" si="1"/>
        <v>0</v>
      </c>
      <c r="P35" s="361"/>
      <c r="R35" s="254"/>
      <c r="S35" s="254"/>
      <c r="T35" s="254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4"/>
    </row>
    <row r="36" spans="1:39" s="174" customFormat="1" ht="20.100000000000001" hidden="1" customHeight="1" outlineLevel="1">
      <c r="A36" s="180" t="s">
        <v>9</v>
      </c>
      <c r="B36" s="215">
        <v>1084</v>
      </c>
      <c r="C36" s="165"/>
      <c r="D36" s="166">
        <f>'[37]1.Фінансовий результат'!D45</f>
        <v>0</v>
      </c>
      <c r="E36" s="166">
        <f>'[45]1.Фінансовий результат'!D45+'[46]1.Фінансовий результат'!K45</f>
        <v>0</v>
      </c>
      <c r="F36" s="166">
        <f>'[39]1.Фінансовий результат'!D39</f>
        <v>0</v>
      </c>
      <c r="G36" s="166">
        <f>'[47]1.Фінансовий результат'!G36</f>
        <v>0</v>
      </c>
      <c r="H36" s="223">
        <f t="shared" si="11"/>
        <v>0</v>
      </c>
      <c r="I36" s="223">
        <v>0</v>
      </c>
      <c r="J36" s="166">
        <f>'1.Фінансовий результат'!J39</f>
        <v>0</v>
      </c>
      <c r="K36" s="166"/>
      <c r="L36" s="166"/>
      <c r="M36" s="166"/>
      <c r="N36" s="342"/>
      <c r="O36" s="118">
        <f t="shared" si="1"/>
        <v>0</v>
      </c>
      <c r="P36" s="361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</row>
    <row r="37" spans="1:39" s="174" customFormat="1" ht="20.100000000000001" hidden="1" customHeight="1" outlineLevel="1">
      <c r="A37" s="180" t="s">
        <v>10</v>
      </c>
      <c r="B37" s="215">
        <v>1085</v>
      </c>
      <c r="C37" s="154">
        <f>'[48]Факт 2015'!$V$58</f>
        <v>8</v>
      </c>
      <c r="D37" s="166">
        <f>'[37]1.Фінансовий результат'!D46</f>
        <v>0</v>
      </c>
      <c r="E37" s="166">
        <f>'[45]1.Фінансовий результат'!D46+'[46]1.Фінансовий результат'!K46</f>
        <v>0</v>
      </c>
      <c r="F37" s="166">
        <f>'[39]1.Фінансовий результат'!D40</f>
        <v>0</v>
      </c>
      <c r="G37" s="166">
        <f>'[40]1.Фінансовий результат'!H40</f>
        <v>35</v>
      </c>
      <c r="H37" s="223">
        <f>G37-35</f>
        <v>0</v>
      </c>
      <c r="I37" s="166">
        <v>35</v>
      </c>
      <c r="J37" s="166">
        <f>'1.Фінансовий результат'!J40</f>
        <v>35</v>
      </c>
      <c r="K37" s="166">
        <v>35</v>
      </c>
      <c r="L37" s="166"/>
      <c r="M37" s="166"/>
      <c r="N37" s="342">
        <f>'[49]Фінплан 2017'!AL60</f>
        <v>0</v>
      </c>
      <c r="O37" s="118">
        <f t="shared" si="1"/>
        <v>0</v>
      </c>
      <c r="P37" s="361"/>
      <c r="R37" s="254"/>
      <c r="S37" s="254"/>
      <c r="T37" s="254"/>
      <c r="U37" s="254"/>
      <c r="V37" s="254"/>
      <c r="W37" s="254"/>
      <c r="X37" s="254"/>
      <c r="Y37" s="254"/>
      <c r="Z37" s="254"/>
      <c r="AA37" s="254"/>
      <c r="AB37" s="254"/>
      <c r="AC37" s="254"/>
      <c r="AD37" s="254"/>
      <c r="AE37" s="254"/>
      <c r="AF37" s="254"/>
      <c r="AG37" s="254"/>
      <c r="AH37" s="254"/>
      <c r="AI37" s="254"/>
      <c r="AJ37" s="254"/>
      <c r="AK37" s="254"/>
      <c r="AL37" s="254"/>
      <c r="AM37" s="254"/>
    </row>
    <row r="38" spans="1:39" s="177" customFormat="1" ht="20.100000000000001" hidden="1" customHeight="1" outlineLevel="1">
      <c r="A38" s="180" t="s">
        <v>24</v>
      </c>
      <c r="B38" s="215">
        <v>1086</v>
      </c>
      <c r="C38" s="154"/>
      <c r="D38" s="166">
        <f>'[37]1.Фінансовий результат'!D47</f>
        <v>0</v>
      </c>
      <c r="E38" s="166">
        <f>'[45]1.Фінансовий результат'!D47+'[46]1.Фінансовий результат'!K47</f>
        <v>0</v>
      </c>
      <c r="F38" s="166">
        <f>'[39]1.Фінансовий результат'!D41</f>
        <v>0</v>
      </c>
      <c r="G38" s="166">
        <f>'[40]1.Фінансовий результат'!H41</f>
        <v>0</v>
      </c>
      <c r="H38" s="223">
        <f t="shared" si="11"/>
        <v>0</v>
      </c>
      <c r="I38" s="166">
        <v>0</v>
      </c>
      <c r="J38" s="166">
        <f>'1.Фінансовий результат'!J41</f>
        <v>0</v>
      </c>
      <c r="K38" s="227"/>
      <c r="L38" s="227"/>
      <c r="M38" s="227"/>
      <c r="N38" s="348"/>
      <c r="O38" s="118">
        <f t="shared" si="1"/>
        <v>0</v>
      </c>
      <c r="P38" s="361"/>
      <c r="R38" s="254"/>
      <c r="S38" s="254"/>
      <c r="T38" s="254"/>
      <c r="U38" s="254"/>
      <c r="V38" s="254"/>
      <c r="W38" s="254"/>
      <c r="X38" s="254"/>
      <c r="Y38" s="254"/>
      <c r="Z38" s="254"/>
      <c r="AA38" s="254"/>
      <c r="AB38" s="254"/>
      <c r="AC38" s="254"/>
      <c r="AD38" s="254"/>
      <c r="AE38" s="254"/>
      <c r="AF38" s="254"/>
      <c r="AG38" s="254"/>
      <c r="AH38" s="254"/>
      <c r="AI38" s="254"/>
      <c r="AJ38" s="254"/>
      <c r="AK38" s="254"/>
      <c r="AL38" s="254"/>
      <c r="AM38" s="254"/>
    </row>
    <row r="39" spans="1:39" s="177" customFormat="1" ht="20.100000000000001" hidden="1" customHeight="1" outlineLevel="1">
      <c r="A39" s="180" t="s">
        <v>25</v>
      </c>
      <c r="B39" s="215">
        <v>1087</v>
      </c>
      <c r="C39" s="154">
        <f>'[36]Факт 2015'!V55</f>
        <v>4.5000000000000009</v>
      </c>
      <c r="D39" s="166">
        <f>'[37]1.Фінансовий результат'!D48</f>
        <v>3.4999999999999996</v>
      </c>
      <c r="E39" s="166">
        <f>'[38]1.Фінансовий результат'!D48</f>
        <v>3.6</v>
      </c>
      <c r="F39" s="166">
        <f>'[39]1.Фінансовий результат'!D42</f>
        <v>2.4000000000000004</v>
      </c>
      <c r="G39" s="166">
        <f>'[40]1.Фінансовий результат'!H42</f>
        <v>4.4000000000000004</v>
      </c>
      <c r="H39" s="223">
        <f t="shared" si="11"/>
        <v>4.4000000000000004</v>
      </c>
      <c r="I39" s="166">
        <v>4.8</v>
      </c>
      <c r="J39" s="166">
        <f>'1.Фінансовий результат'!J42</f>
        <v>4.8</v>
      </c>
      <c r="K39" s="166">
        <v>1.2</v>
      </c>
      <c r="L39" s="166">
        <f>$K$39</f>
        <v>1.2</v>
      </c>
      <c r="M39" s="166">
        <f t="shared" ref="M39:N39" si="13">$K$39</f>
        <v>1.2</v>
      </c>
      <c r="N39" s="342">
        <f t="shared" si="13"/>
        <v>1.2</v>
      </c>
      <c r="O39" s="118">
        <f t="shared" si="1"/>
        <v>0</v>
      </c>
      <c r="P39" s="361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54"/>
      <c r="AL39" s="254"/>
      <c r="AM39" s="254"/>
    </row>
    <row r="40" spans="1:39" s="177" customFormat="1" collapsed="1">
      <c r="A40" s="180" t="s">
        <v>26</v>
      </c>
      <c r="B40" s="215">
        <v>1088</v>
      </c>
      <c r="C40" s="154">
        <f>'[36]Факт 2015'!V56</f>
        <v>575</v>
      </c>
      <c r="D40" s="166">
        <f>'[37]1.Фінансовий результат'!D49+228.5</f>
        <v>958.9</v>
      </c>
      <c r="E40" s="166">
        <f>'[38]1.Фінансовий результат'!$D$49+321.5</f>
        <v>1253.5</v>
      </c>
      <c r="F40" s="166">
        <f>'[39]1.Фінансовий результат'!D43</f>
        <v>1595</v>
      </c>
      <c r="G40" s="166">
        <f>'[40]1.Фінансовий результат'!H43</f>
        <v>1891.1000000000001</v>
      </c>
      <c r="H40" s="223">
        <f t="shared" si="11"/>
        <v>1891.1000000000001</v>
      </c>
      <c r="I40" s="166">
        <v>2277.8000000000002</v>
      </c>
      <c r="J40" s="166">
        <f>'1.Фінансовий результат'!J43</f>
        <v>4015.6000000000004</v>
      </c>
      <c r="K40" s="166">
        <f>'[42]ФП форма 3'!Z62-47.5+140</f>
        <v>695.3</v>
      </c>
      <c r="L40" s="166">
        <f>'[42]ФП форма 3'!AD62-47.5+426</f>
        <v>981.3</v>
      </c>
      <c r="M40" s="166">
        <f>'[42]ФП форма 3'!AH62-47.5+426.2</f>
        <v>1006.5999999999999</v>
      </c>
      <c r="N40" s="342">
        <f>'[42]ФП форма 3'!AL62-47.4+427.1</f>
        <v>1013.9</v>
      </c>
      <c r="O40" s="118">
        <f t="shared" si="1"/>
        <v>1737.8000000000002</v>
      </c>
      <c r="P40" s="506" t="s">
        <v>378</v>
      </c>
      <c r="R40" s="254"/>
      <c r="S40" s="254"/>
      <c r="T40" s="254"/>
      <c r="U40" s="254"/>
      <c r="V40" s="254"/>
      <c r="W40" s="254"/>
      <c r="X40" s="254"/>
      <c r="Y40" s="254"/>
      <c r="Z40" s="254"/>
      <c r="AA40" s="254"/>
      <c r="AB40" s="254"/>
      <c r="AC40" s="254"/>
      <c r="AD40" s="254"/>
      <c r="AE40" s="254"/>
      <c r="AF40" s="254"/>
      <c r="AG40" s="254"/>
      <c r="AH40" s="254"/>
      <c r="AI40" s="254"/>
      <c r="AJ40" s="254"/>
      <c r="AK40" s="254"/>
      <c r="AL40" s="254"/>
      <c r="AM40" s="254"/>
    </row>
    <row r="41" spans="1:39" s="177" customFormat="1">
      <c r="A41" s="180" t="s">
        <v>27</v>
      </c>
      <c r="B41" s="215">
        <v>1089</v>
      </c>
      <c r="C41" s="154">
        <f>'[36]Факт 2015'!V57</f>
        <v>160.9</v>
      </c>
      <c r="D41" s="166">
        <f>'[37]1.Фінансовий результат'!D50+50.7</f>
        <v>180</v>
      </c>
      <c r="E41" s="166">
        <f>'[38]1.Фінансовий результат'!$D$50+71.9</f>
        <v>240.8</v>
      </c>
      <c r="F41" s="166">
        <f>'[39]1.Фінансовий результат'!D44</f>
        <v>286.39999999999998</v>
      </c>
      <c r="G41" s="166">
        <f>'[40]1.Фінансовий результат'!H44</f>
        <v>416</v>
      </c>
      <c r="H41" s="223">
        <f t="shared" si="11"/>
        <v>416</v>
      </c>
      <c r="I41" s="166">
        <v>501.2</v>
      </c>
      <c r="J41" s="166">
        <f>'1.Фінансовий результат'!J44</f>
        <v>828.1</v>
      </c>
      <c r="K41" s="166">
        <f>'[42]ФП форма 3'!Z63+1.3+30.8</f>
        <v>153.30000000000001</v>
      </c>
      <c r="L41" s="166">
        <f>'[42]ФП форма 3'!AD63+1.1+93.8</f>
        <v>216.2</v>
      </c>
      <c r="M41" s="166">
        <f>'[42]ФП форма 3'!AH63+1.4+93.8</f>
        <v>221.3</v>
      </c>
      <c r="N41" s="342">
        <f>'[42]ФП форма 3'!AL63+1.4+94</f>
        <v>222.8</v>
      </c>
      <c r="O41" s="118">
        <f t="shared" si="1"/>
        <v>326.90000000000003</v>
      </c>
      <c r="P41" s="507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4"/>
      <c r="AE41" s="254"/>
      <c r="AF41" s="254"/>
      <c r="AG41" s="254"/>
      <c r="AH41" s="254"/>
      <c r="AI41" s="254"/>
      <c r="AJ41" s="254"/>
      <c r="AK41" s="254"/>
      <c r="AL41" s="254"/>
      <c r="AM41" s="254"/>
    </row>
    <row r="42" spans="1:39" s="177" customFormat="1" ht="56.25" hidden="1" outlineLevel="1">
      <c r="A42" s="180" t="s">
        <v>28</v>
      </c>
      <c r="B42" s="215">
        <v>1090</v>
      </c>
      <c r="C42" s="154">
        <f>'[36]Факт 2015'!V58</f>
        <v>8.9000000000000021</v>
      </c>
      <c r="D42" s="166">
        <f>'[37]1.Фінансовий результат'!D51</f>
        <v>10.900000000000002</v>
      </c>
      <c r="E42" s="166">
        <f>'[38]1.Фінансовий результат'!D51</f>
        <v>4.5999999999999996</v>
      </c>
      <c r="F42" s="166">
        <f>'[39]1.Фінансовий результат'!D45</f>
        <v>8.4</v>
      </c>
      <c r="G42" s="166">
        <f>'[40]1.Фінансовий результат'!H45</f>
        <v>7.2</v>
      </c>
      <c r="H42" s="223">
        <f t="shared" si="11"/>
        <v>7.2</v>
      </c>
      <c r="I42" s="166">
        <v>9.1999999999999993</v>
      </c>
      <c r="J42" s="166">
        <f>'1.Фінансовий результат'!J45</f>
        <v>9.1999999999999993</v>
      </c>
      <c r="K42" s="166">
        <f>ROUND(1.8*1.3,1)</f>
        <v>2.2999999999999998</v>
      </c>
      <c r="L42" s="166">
        <f>K42</f>
        <v>2.2999999999999998</v>
      </c>
      <c r="M42" s="166">
        <f>L42</f>
        <v>2.2999999999999998</v>
      </c>
      <c r="N42" s="342">
        <f>M42</f>
        <v>2.2999999999999998</v>
      </c>
      <c r="O42" s="118">
        <f t="shared" si="1"/>
        <v>0</v>
      </c>
      <c r="P42" s="361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4"/>
    </row>
    <row r="43" spans="1:39" s="177" customFormat="1" ht="56.25" hidden="1" outlineLevel="1">
      <c r="A43" s="180" t="s">
        <v>29</v>
      </c>
      <c r="B43" s="215">
        <v>1091</v>
      </c>
      <c r="C43" s="154">
        <f>'[36]Факт 2015'!V59</f>
        <v>0</v>
      </c>
      <c r="D43" s="166">
        <f>'[37]1.Фінансовий результат'!D52</f>
        <v>0</v>
      </c>
      <c r="E43" s="166">
        <f>'[38]1.Фінансовий результат'!D52</f>
        <v>0</v>
      </c>
      <c r="F43" s="166">
        <f>'[39]1.Фінансовий результат'!D46</f>
        <v>0</v>
      </c>
      <c r="G43" s="166">
        <f>'[40]1.Фінансовий результат'!H46</f>
        <v>0</v>
      </c>
      <c r="H43" s="223">
        <f t="shared" si="11"/>
        <v>0</v>
      </c>
      <c r="I43" s="166">
        <v>0</v>
      </c>
      <c r="J43" s="166">
        <f>'1.Фінансовий результат'!J46</f>
        <v>0</v>
      </c>
      <c r="K43" s="166"/>
      <c r="L43" s="166"/>
      <c r="M43" s="166"/>
      <c r="N43" s="342"/>
      <c r="O43" s="118">
        <f t="shared" si="1"/>
        <v>0</v>
      </c>
      <c r="P43" s="361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54"/>
    </row>
    <row r="44" spans="1:39" s="177" customFormat="1" ht="37.5" hidden="1" outlineLevel="1">
      <c r="A44" s="180" t="s">
        <v>30</v>
      </c>
      <c r="B44" s="215">
        <v>1092</v>
      </c>
      <c r="C44" s="154">
        <f>'[36]Факт 2015'!V60</f>
        <v>0.4</v>
      </c>
      <c r="D44" s="166">
        <f>'[37]1.Фінансовий результат'!D53</f>
        <v>4.2</v>
      </c>
      <c r="E44" s="166">
        <f>'[38]1.Фінансовий результат'!D53</f>
        <v>5.4</v>
      </c>
      <c r="F44" s="166">
        <f>'[39]1.Фінансовий результат'!D47</f>
        <v>6.4</v>
      </c>
      <c r="G44" s="166">
        <f>'[40]1.Фінансовий результат'!H47</f>
        <v>6</v>
      </c>
      <c r="H44" s="223">
        <f t="shared" si="11"/>
        <v>6</v>
      </c>
      <c r="I44" s="166">
        <v>6.6000000000000005</v>
      </c>
      <c r="J44" s="166">
        <f>'1.Фінансовий результат'!J47</f>
        <v>6.6000000000000005</v>
      </c>
      <c r="K44" s="166">
        <f>'[49]Фінплан 2017'!Z59</f>
        <v>0</v>
      </c>
      <c r="L44" s="166">
        <f>'[49]Фінплан 2017'!AD59</f>
        <v>0</v>
      </c>
      <c r="M44" s="166">
        <f>'[49]Фінплан 2017'!AH59</f>
        <v>0</v>
      </c>
      <c r="N44" s="342">
        <f>'[42]бюджет інши витрати'!$R$15/1000</f>
        <v>6.6000000000000005</v>
      </c>
      <c r="O44" s="118">
        <f t="shared" si="1"/>
        <v>0</v>
      </c>
      <c r="P44" s="361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4"/>
      <c r="AJ44" s="254"/>
      <c r="AK44" s="254"/>
      <c r="AL44" s="254"/>
      <c r="AM44" s="254"/>
    </row>
    <row r="45" spans="1:39" s="177" customFormat="1" ht="37.5" hidden="1" outlineLevel="1">
      <c r="A45" s="180" t="s">
        <v>31</v>
      </c>
      <c r="B45" s="215">
        <v>1093</v>
      </c>
      <c r="C45" s="154">
        <f>'[36]Факт 2015'!V61</f>
        <v>0</v>
      </c>
      <c r="D45" s="166">
        <f>'[37]1.Фінансовий результат'!D54</f>
        <v>0</v>
      </c>
      <c r="E45" s="166">
        <f>'[38]1.Фінансовий результат'!D54</f>
        <v>0</v>
      </c>
      <c r="F45" s="166">
        <f>'[39]1.Фінансовий результат'!D48</f>
        <v>0</v>
      </c>
      <c r="G45" s="166">
        <f>'[40]1.Фінансовий результат'!H48</f>
        <v>0</v>
      </c>
      <c r="H45" s="223">
        <f t="shared" si="11"/>
        <v>0</v>
      </c>
      <c r="I45" s="166">
        <v>0</v>
      </c>
      <c r="J45" s="166">
        <f>'1.Фінансовий результат'!J48</f>
        <v>0</v>
      </c>
      <c r="K45" s="166"/>
      <c r="L45" s="166"/>
      <c r="M45" s="166"/>
      <c r="N45" s="342"/>
      <c r="O45" s="118">
        <f t="shared" si="1"/>
        <v>0</v>
      </c>
      <c r="P45" s="361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</row>
    <row r="46" spans="1:39" s="177" customFormat="1" ht="37.5" hidden="1" outlineLevel="1">
      <c r="A46" s="180" t="s">
        <v>313</v>
      </c>
      <c r="B46" s="215">
        <v>1094</v>
      </c>
      <c r="C46" s="154">
        <f>'[36]Факт 2015'!V62</f>
        <v>5.0000000000000009</v>
      </c>
      <c r="D46" s="166">
        <f>'[37]1.Фінансовий результат'!D55</f>
        <v>8.6</v>
      </c>
      <c r="E46" s="166">
        <f>'[38]1.Фінансовий результат'!D55</f>
        <v>6.1000000000000005</v>
      </c>
      <c r="F46" s="166">
        <f>'[39]1.Фінансовий результат'!D49</f>
        <v>12.1</v>
      </c>
      <c r="G46" s="166">
        <f>'[40]1.Фінансовий результат'!H49</f>
        <v>8</v>
      </c>
      <c r="H46" s="223">
        <f t="shared" si="11"/>
        <v>8</v>
      </c>
      <c r="I46" s="166">
        <v>8.8000000000000007</v>
      </c>
      <c r="J46" s="166">
        <f>'1.Фінансовий результат'!J49</f>
        <v>8.8000000000000007</v>
      </c>
      <c r="K46" s="166">
        <f>2.2</f>
        <v>2.2000000000000002</v>
      </c>
      <c r="L46" s="166">
        <f>K46</f>
        <v>2.2000000000000002</v>
      </c>
      <c r="M46" s="166">
        <f>L46</f>
        <v>2.2000000000000002</v>
      </c>
      <c r="N46" s="342">
        <f>M46</f>
        <v>2.2000000000000002</v>
      </c>
      <c r="O46" s="118">
        <f t="shared" si="1"/>
        <v>0</v>
      </c>
      <c r="P46" s="361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</row>
    <row r="47" spans="1:39" s="177" customFormat="1" collapsed="1">
      <c r="A47" s="299" t="s">
        <v>52</v>
      </c>
      <c r="B47" s="300">
        <v>1095</v>
      </c>
      <c r="C47" s="301">
        <v>35.9</v>
      </c>
      <c r="D47" s="302">
        <f>'[37]1.Фінансовий результат'!D56</f>
        <v>14.5</v>
      </c>
      <c r="E47" s="302">
        <f>'[38]1.Фінансовий результат'!D56</f>
        <v>4.4000000000000004</v>
      </c>
      <c r="F47" s="166">
        <f>'[39]1.Фінансовий результат'!D50</f>
        <v>10.1</v>
      </c>
      <c r="G47" s="166">
        <f>'[40]1.Фінансовий результат'!H50</f>
        <v>9.6</v>
      </c>
      <c r="H47" s="223">
        <f t="shared" si="11"/>
        <v>9.6</v>
      </c>
      <c r="I47" s="302">
        <v>10.4</v>
      </c>
      <c r="J47" s="166">
        <f>'1.Фінансовий результат'!J50</f>
        <v>32.799999999999997</v>
      </c>
      <c r="K47" s="302">
        <f>ROUND(2.4*1.1,1)+7.5-1.9</f>
        <v>8.1999999999999993</v>
      </c>
      <c r="L47" s="302">
        <f>$K$47</f>
        <v>8.1999999999999993</v>
      </c>
      <c r="M47" s="302">
        <f t="shared" ref="M47:N47" si="14">$K$47</f>
        <v>8.1999999999999993</v>
      </c>
      <c r="N47" s="349">
        <f t="shared" si="14"/>
        <v>8.1999999999999993</v>
      </c>
      <c r="O47" s="118">
        <f t="shared" si="1"/>
        <v>22.4</v>
      </c>
      <c r="P47" s="362" t="s">
        <v>379</v>
      </c>
      <c r="R47" s="254"/>
      <c r="S47" s="254"/>
      <c r="T47" s="254"/>
      <c r="U47" s="254"/>
      <c r="V47" s="254"/>
      <c r="W47" s="254"/>
      <c r="X47" s="254"/>
      <c r="Y47" s="254"/>
      <c r="Z47" s="254"/>
      <c r="AA47" s="254"/>
      <c r="AB47" s="254"/>
      <c r="AC47" s="254"/>
      <c r="AD47" s="254"/>
      <c r="AE47" s="254"/>
      <c r="AF47" s="254"/>
      <c r="AG47" s="254"/>
      <c r="AH47" s="254"/>
      <c r="AI47" s="254"/>
      <c r="AJ47" s="254"/>
      <c r="AK47" s="254"/>
      <c r="AL47" s="254"/>
      <c r="AM47" s="254"/>
    </row>
    <row r="48" spans="1:39" s="177" customFormat="1" ht="20.100000000000001" hidden="1" customHeight="1" outlineLevel="1">
      <c r="A48" s="340"/>
      <c r="B48" s="304"/>
      <c r="C48" s="305"/>
      <c r="D48" s="306"/>
      <c r="E48" s="306"/>
      <c r="F48" s="306"/>
      <c r="G48" s="306"/>
      <c r="H48" s="307"/>
      <c r="I48" s="307"/>
      <c r="J48" s="166">
        <f>'1.Фінансовий результат'!J51</f>
        <v>0</v>
      </c>
      <c r="K48" s="306"/>
      <c r="L48" s="306"/>
      <c r="M48" s="306"/>
      <c r="N48" s="323" t="s">
        <v>360</v>
      </c>
      <c r="O48" s="118">
        <f t="shared" si="1"/>
        <v>0</v>
      </c>
      <c r="P48" s="361"/>
      <c r="R48" s="254"/>
      <c r="S48" s="254"/>
      <c r="T48" s="254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4"/>
      <c r="AH48" s="254"/>
      <c r="AI48" s="254"/>
      <c r="AJ48" s="254"/>
      <c r="AK48" s="254"/>
      <c r="AL48" s="254"/>
      <c r="AM48" s="254"/>
    </row>
    <row r="49" spans="1:39" s="177" customFormat="1" ht="20.100000000000001" hidden="1" customHeight="1" outlineLevel="1">
      <c r="A49" s="224" t="s">
        <v>32</v>
      </c>
      <c r="B49" s="225">
        <v>1096</v>
      </c>
      <c r="C49" s="196">
        <f>'[36]Факт 2015'!$V$46</f>
        <v>0.5</v>
      </c>
      <c r="D49" s="226">
        <f>'[37]1.Фінансовий результат'!D57</f>
        <v>0</v>
      </c>
      <c r="E49" s="226">
        <f>'[38]1.Фінансовий результат'!D57</f>
        <v>1.2</v>
      </c>
      <c r="F49" s="226">
        <f>'[39]1.Фінансовий результат'!D51</f>
        <v>0</v>
      </c>
      <c r="G49" s="166">
        <f>'[40]1.Фінансовий результат'!H52</f>
        <v>0</v>
      </c>
      <c r="H49" s="223">
        <f t="shared" si="11"/>
        <v>0</v>
      </c>
      <c r="I49" s="226">
        <v>0</v>
      </c>
      <c r="J49" s="166">
        <f>'1.Фінансовий результат'!J52</f>
        <v>0</v>
      </c>
      <c r="K49" s="226"/>
      <c r="L49" s="226"/>
      <c r="M49" s="226"/>
      <c r="N49" s="350"/>
      <c r="O49" s="118">
        <f t="shared" si="1"/>
        <v>0</v>
      </c>
      <c r="P49" s="361"/>
      <c r="R49" s="254"/>
      <c r="S49" s="254"/>
      <c r="T49" s="254"/>
      <c r="U49" s="254"/>
      <c r="V49" s="254"/>
      <c r="W49" s="254"/>
      <c r="X49" s="254"/>
      <c r="Y49" s="254"/>
      <c r="Z49" s="254"/>
      <c r="AA49" s="254"/>
      <c r="AB49" s="254"/>
      <c r="AC49" s="254"/>
      <c r="AD49" s="254"/>
      <c r="AE49" s="254"/>
      <c r="AF49" s="254"/>
      <c r="AG49" s="254"/>
      <c r="AH49" s="254"/>
      <c r="AI49" s="254"/>
      <c r="AJ49" s="254"/>
      <c r="AK49" s="254"/>
      <c r="AL49" s="254"/>
      <c r="AM49" s="254"/>
    </row>
    <row r="50" spans="1:39" s="177" customFormat="1" ht="20.100000000000001" hidden="1" customHeight="1" outlineLevel="1">
      <c r="A50" s="180" t="s">
        <v>33</v>
      </c>
      <c r="B50" s="215">
        <v>1097</v>
      </c>
      <c r="C50" s="154">
        <f>'[36]Факт 2015'!V65</f>
        <v>1.6</v>
      </c>
      <c r="D50" s="166">
        <f>'[37]1.Фінансовий результат'!D58</f>
        <v>0</v>
      </c>
      <c r="E50" s="166">
        <f>'[38]1.Фінансовий результат'!D58</f>
        <v>0</v>
      </c>
      <c r="F50" s="226">
        <f>'[39]1.Фінансовий результат'!D52</f>
        <v>0</v>
      </c>
      <c r="G50" s="166">
        <f>'[40]1.Фінансовий результат'!H53</f>
        <v>0</v>
      </c>
      <c r="H50" s="223">
        <f t="shared" si="11"/>
        <v>0</v>
      </c>
      <c r="I50" s="166">
        <v>0</v>
      </c>
      <c r="J50" s="166">
        <f>'1.Фінансовий результат'!J53</f>
        <v>0</v>
      </c>
      <c r="K50" s="166">
        <f>'[49]Фінплан 2017'!Z72</f>
        <v>0</v>
      </c>
      <c r="L50" s="166"/>
      <c r="M50" s="166"/>
      <c r="N50" s="342">
        <f>'[49]Фінплан 2017'!AL72</f>
        <v>0</v>
      </c>
      <c r="O50" s="118">
        <f t="shared" si="1"/>
        <v>0</v>
      </c>
      <c r="P50" s="361"/>
      <c r="R50" s="254"/>
      <c r="S50" s="254"/>
      <c r="T50" s="254"/>
      <c r="U50" s="254"/>
      <c r="V50" s="254"/>
      <c r="W50" s="254"/>
      <c r="X50" s="254"/>
      <c r="Y50" s="254"/>
      <c r="Z50" s="254"/>
      <c r="AA50" s="254"/>
      <c r="AB50" s="254"/>
      <c r="AC50" s="254"/>
      <c r="AD50" s="254"/>
      <c r="AE50" s="254"/>
      <c r="AF50" s="254"/>
      <c r="AG50" s="254"/>
      <c r="AH50" s="254"/>
      <c r="AI50" s="254"/>
      <c r="AJ50" s="254"/>
      <c r="AK50" s="254"/>
      <c r="AL50" s="254"/>
      <c r="AM50" s="254"/>
    </row>
    <row r="51" spans="1:39" s="177" customFormat="1" ht="37.5" hidden="1" outlineLevel="1">
      <c r="A51" s="180" t="s">
        <v>34</v>
      </c>
      <c r="B51" s="215">
        <v>1098</v>
      </c>
      <c r="C51" s="154">
        <f>'[36]Факт 2015'!V66</f>
        <v>0</v>
      </c>
      <c r="D51" s="166">
        <f>'[37]1.Фінансовий результат'!D59</f>
        <v>0</v>
      </c>
      <c r="E51" s="166">
        <f>'[38]1.Фінансовий результат'!D59</f>
        <v>3.2</v>
      </c>
      <c r="F51" s="226">
        <f>'[39]1.Фінансовий результат'!D53</f>
        <v>0</v>
      </c>
      <c r="G51" s="166">
        <f>'[40]1.Фінансовий результат'!H54</f>
        <v>12</v>
      </c>
      <c r="H51" s="223">
        <f>G51+35</f>
        <v>47</v>
      </c>
      <c r="I51" s="166">
        <v>13.2</v>
      </c>
      <c r="J51" s="166">
        <f>'1.Фінансовий результат'!J54</f>
        <v>13.2</v>
      </c>
      <c r="K51" s="166">
        <f>3.3</f>
        <v>3.3</v>
      </c>
      <c r="L51" s="166">
        <f>$K$51</f>
        <v>3.3</v>
      </c>
      <c r="M51" s="166">
        <f t="shared" ref="M51:N51" si="15">$K$51</f>
        <v>3.3</v>
      </c>
      <c r="N51" s="342">
        <f t="shared" si="15"/>
        <v>3.3</v>
      </c>
      <c r="O51" s="118">
        <f t="shared" si="1"/>
        <v>0</v>
      </c>
      <c r="P51" s="361"/>
      <c r="R51" s="254"/>
      <c r="S51" s="254"/>
      <c r="T51" s="254"/>
      <c r="U51" s="254"/>
      <c r="V51" s="254"/>
      <c r="W51" s="254"/>
      <c r="X51" s="254"/>
      <c r="Y51" s="254"/>
      <c r="Z51" s="254"/>
      <c r="AA51" s="254"/>
      <c r="AB51" s="254"/>
      <c r="AC51" s="254"/>
      <c r="AD51" s="254"/>
      <c r="AE51" s="254"/>
      <c r="AF51" s="254"/>
      <c r="AG51" s="254"/>
      <c r="AH51" s="254"/>
      <c r="AI51" s="254"/>
      <c r="AJ51" s="254"/>
      <c r="AK51" s="254"/>
      <c r="AL51" s="254"/>
      <c r="AM51" s="254"/>
    </row>
    <row r="52" spans="1:39" s="177" customFormat="1" ht="37.5" hidden="1" outlineLevel="1">
      <c r="A52" s="224" t="s">
        <v>35</v>
      </c>
      <c r="B52" s="225">
        <v>1099</v>
      </c>
      <c r="C52" s="196">
        <f>'[36]Факт 2015'!V67</f>
        <v>0</v>
      </c>
      <c r="D52" s="166">
        <f>'[37]1.Фінансовий результат'!D60</f>
        <v>0</v>
      </c>
      <c r="E52" s="166">
        <f>'[38]1.Фінансовий результат'!D60</f>
        <v>0</v>
      </c>
      <c r="F52" s="226">
        <f>'[39]1.Фінансовий результат'!D54</f>
        <v>0</v>
      </c>
      <c r="G52" s="166">
        <f>'[40]1.Фінансовий результат'!H55</f>
        <v>0</v>
      </c>
      <c r="H52" s="223">
        <f t="shared" si="11"/>
        <v>0</v>
      </c>
      <c r="I52" s="226">
        <v>0</v>
      </c>
      <c r="J52" s="166">
        <f>'1.Фінансовий результат'!J55</f>
        <v>0</v>
      </c>
      <c r="K52" s="226">
        <v>0</v>
      </c>
      <c r="L52" s="226">
        <v>0</v>
      </c>
      <c r="M52" s="226">
        <v>0</v>
      </c>
      <c r="N52" s="350">
        <v>0</v>
      </c>
      <c r="O52" s="118">
        <f t="shared" si="1"/>
        <v>0</v>
      </c>
      <c r="P52" s="361"/>
      <c r="R52" s="254"/>
      <c r="S52" s="254"/>
      <c r="T52" s="254"/>
      <c r="U52" s="254"/>
      <c r="V52" s="254"/>
      <c r="W52" s="254"/>
      <c r="X52" s="254"/>
      <c r="Y52" s="254"/>
      <c r="Z52" s="254"/>
      <c r="AA52" s="254"/>
      <c r="AB52" s="254"/>
      <c r="AC52" s="254"/>
      <c r="AD52" s="254"/>
      <c r="AE52" s="254"/>
      <c r="AF52" s="254"/>
      <c r="AG52" s="254"/>
      <c r="AH52" s="254"/>
      <c r="AI52" s="254"/>
      <c r="AJ52" s="254"/>
      <c r="AK52" s="254"/>
      <c r="AL52" s="254"/>
      <c r="AM52" s="254"/>
    </row>
    <row r="53" spans="1:39" s="177" customFormat="1" ht="75" hidden="1" outlineLevel="1">
      <c r="A53" s="180" t="s">
        <v>62</v>
      </c>
      <c r="B53" s="215">
        <v>1100</v>
      </c>
      <c r="C53" s="154">
        <f>'[36]Факт 2015'!V68</f>
        <v>0</v>
      </c>
      <c r="D53" s="166">
        <f>'[37]1.Фінансовий результат'!D61</f>
        <v>0</v>
      </c>
      <c r="E53" s="166">
        <f>'[38]1.Фінансовий результат'!D61</f>
        <v>0</v>
      </c>
      <c r="F53" s="226">
        <f>'[39]1.Фінансовий результат'!D55</f>
        <v>0</v>
      </c>
      <c r="G53" s="166">
        <f>'[40]1.Фінансовий результат'!H56</f>
        <v>0</v>
      </c>
      <c r="H53" s="223">
        <f t="shared" si="11"/>
        <v>0</v>
      </c>
      <c r="I53" s="166">
        <v>0</v>
      </c>
      <c r="J53" s="166">
        <f>'1.Фінансовий результат'!J56</f>
        <v>0</v>
      </c>
      <c r="K53" s="166">
        <v>0</v>
      </c>
      <c r="L53" s="166">
        <v>0</v>
      </c>
      <c r="M53" s="166">
        <v>0</v>
      </c>
      <c r="N53" s="342">
        <v>0</v>
      </c>
      <c r="O53" s="118">
        <f t="shared" si="1"/>
        <v>0</v>
      </c>
      <c r="P53" s="361"/>
      <c r="R53" s="254"/>
      <c r="S53" s="254"/>
      <c r="T53" s="254"/>
      <c r="U53" s="254"/>
      <c r="V53" s="254"/>
      <c r="W53" s="254"/>
      <c r="X53" s="254"/>
      <c r="Y53" s="254"/>
      <c r="Z53" s="254"/>
      <c r="AA53" s="254"/>
      <c r="AB53" s="254"/>
      <c r="AC53" s="254"/>
      <c r="AD53" s="254"/>
      <c r="AE53" s="254"/>
      <c r="AF53" s="254"/>
      <c r="AG53" s="254"/>
      <c r="AH53" s="254"/>
      <c r="AI53" s="254"/>
      <c r="AJ53" s="254"/>
      <c r="AK53" s="254"/>
      <c r="AL53" s="254"/>
      <c r="AM53" s="254"/>
    </row>
    <row r="54" spans="1:39" s="177" customFormat="1" ht="20.100000000000001" hidden="1" customHeight="1" outlineLevel="1">
      <c r="A54" s="180" t="s">
        <v>36</v>
      </c>
      <c r="B54" s="215">
        <v>1101</v>
      </c>
      <c r="C54" s="154">
        <f>'[36]Факт 2015'!V69</f>
        <v>0</v>
      </c>
      <c r="D54" s="166">
        <f>'[37]1.Фінансовий результат'!D62</f>
        <v>0</v>
      </c>
      <c r="E54" s="166">
        <f>'[38]1.Фінансовий результат'!D62</f>
        <v>0</v>
      </c>
      <c r="F54" s="226">
        <f>'[39]1.Фінансовий результат'!D56</f>
        <v>0</v>
      </c>
      <c r="G54" s="166">
        <f>'[40]1.Фінансовий результат'!H57</f>
        <v>0</v>
      </c>
      <c r="H54" s="223">
        <f>'[43]1.Фінансовий результат'!D56+'[44]1.Фінансовий результат'!L56+'[44]1.Фінансовий результат'!M56</f>
        <v>0</v>
      </c>
      <c r="I54" s="166">
        <v>0</v>
      </c>
      <c r="J54" s="166">
        <f>'1.Фінансовий результат'!J57</f>
        <v>0</v>
      </c>
      <c r="K54" s="166">
        <v>0</v>
      </c>
      <c r="L54" s="166">
        <v>0</v>
      </c>
      <c r="M54" s="166">
        <v>0</v>
      </c>
      <c r="N54" s="342">
        <v>0</v>
      </c>
      <c r="O54" s="118">
        <f t="shared" si="1"/>
        <v>0</v>
      </c>
      <c r="P54" s="361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</row>
    <row r="55" spans="1:39" s="177" customFormat="1" ht="37.5" collapsed="1">
      <c r="A55" s="180" t="s">
        <v>92</v>
      </c>
      <c r="B55" s="215">
        <v>1102</v>
      </c>
      <c r="C55" s="216">
        <f t="shared" ref="C55:H55" si="16">SUM(C56:C70)</f>
        <v>73</v>
      </c>
      <c r="D55" s="227">
        <f t="shared" si="16"/>
        <v>87.299999999999983</v>
      </c>
      <c r="E55" s="227">
        <f t="shared" si="16"/>
        <v>78</v>
      </c>
      <c r="F55" s="227">
        <f t="shared" si="16"/>
        <v>93.4</v>
      </c>
      <c r="G55" s="227">
        <f t="shared" si="16"/>
        <v>134.10000000000002</v>
      </c>
      <c r="H55" s="227">
        <f t="shared" si="16"/>
        <v>134.10000000000002</v>
      </c>
      <c r="I55" s="227">
        <v>163.39999999999998</v>
      </c>
      <c r="J55" s="166">
        <f>'1.Фінансовий результат'!J58</f>
        <v>210.6</v>
      </c>
      <c r="K55" s="227">
        <f>SUM(K56:K70)</f>
        <v>55.3</v>
      </c>
      <c r="L55" s="227">
        <f>SUM(L56:L70)</f>
        <v>54.7</v>
      </c>
      <c r="M55" s="227">
        <f>SUM(M56:M70)</f>
        <v>54.000000000000007</v>
      </c>
      <c r="N55" s="348">
        <f>SUM(N56:N70)</f>
        <v>46.6</v>
      </c>
      <c r="O55" s="118">
        <f t="shared" si="1"/>
        <v>47.200000000000017</v>
      </c>
      <c r="P55" s="361"/>
      <c r="Q55" s="250"/>
      <c r="R55" s="254"/>
      <c r="S55" s="254"/>
      <c r="T55" s="254"/>
      <c r="U55" s="254"/>
      <c r="V55" s="254"/>
      <c r="W55" s="254"/>
      <c r="X55" s="254"/>
      <c r="Y55" s="254"/>
      <c r="Z55" s="254"/>
      <c r="AA55" s="254"/>
      <c r="AB55" s="254"/>
      <c r="AC55" s="254"/>
      <c r="AD55" s="254"/>
      <c r="AE55" s="254"/>
      <c r="AF55" s="254"/>
      <c r="AG55" s="254"/>
      <c r="AH55" s="254"/>
      <c r="AI55" s="254"/>
      <c r="AJ55" s="254"/>
      <c r="AK55" s="254"/>
      <c r="AL55" s="254"/>
      <c r="AM55" s="254"/>
    </row>
    <row r="56" spans="1:39" s="222" customFormat="1" ht="20.100000000000001" hidden="1" customHeight="1" outlineLevel="1">
      <c r="A56" s="217" t="s">
        <v>291</v>
      </c>
      <c r="B56" s="218">
        <v>1</v>
      </c>
      <c r="C56" s="162">
        <f>'[36]Факт 2015'!V71</f>
        <v>0</v>
      </c>
      <c r="D56" s="223">
        <f>'[37]1.Фінансовий результат'!D64</f>
        <v>0.1</v>
      </c>
      <c r="E56" s="223">
        <f>'[38]1.Фінансовий результат'!$D$640</f>
        <v>0</v>
      </c>
      <c r="F56" s="303">
        <f>'[39]1.Фінансовий результат'!D58</f>
        <v>0.1</v>
      </c>
      <c r="G56" s="223">
        <f>'[40]1.Фінансовий результат'!H59</f>
        <v>0</v>
      </c>
      <c r="H56" s="223">
        <f>'[43]1.Фінансовий результат'!D58+'[44]1.Фінансовий результат'!L58+'[44]1.Фінансовий результат'!M58</f>
        <v>0</v>
      </c>
      <c r="I56" s="223">
        <v>0</v>
      </c>
      <c r="J56" s="166">
        <f>'1.Фінансовий результат'!J59</f>
        <v>0</v>
      </c>
      <c r="K56" s="219">
        <v>0</v>
      </c>
      <c r="L56" s="219">
        <v>0</v>
      </c>
      <c r="M56" s="219">
        <v>0</v>
      </c>
      <c r="N56" s="346">
        <v>0</v>
      </c>
      <c r="O56" s="118">
        <f t="shared" si="1"/>
        <v>0</v>
      </c>
      <c r="P56" s="361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</row>
    <row r="57" spans="1:39" s="222" customFormat="1" ht="20.100000000000001" hidden="1" customHeight="1" outlineLevel="1">
      <c r="A57" s="217" t="s">
        <v>292</v>
      </c>
      <c r="B57" s="218">
        <v>2</v>
      </c>
      <c r="C57" s="162">
        <f>'[36]Факт 2015'!V72</f>
        <v>9.6999999999999993</v>
      </c>
      <c r="D57" s="223">
        <f>'[37]1.Фінансовий результат'!D65</f>
        <v>14.299999999999999</v>
      </c>
      <c r="E57" s="223">
        <f>'[38]1.Фінансовий результат'!D65</f>
        <v>15.499999999999998</v>
      </c>
      <c r="F57" s="303">
        <f>'[39]1.Фінансовий результат'!D59</f>
        <v>15.2</v>
      </c>
      <c r="G57" s="223">
        <f>'[40]1.Фінансовий результат'!H60</f>
        <v>15.2</v>
      </c>
      <c r="H57" s="223">
        <f t="shared" ref="H57:H70" si="17">G57</f>
        <v>15.2</v>
      </c>
      <c r="I57" s="223">
        <v>15.2</v>
      </c>
      <c r="J57" s="223">
        <f>'1.Фінансовий результат'!J60</f>
        <v>15.2</v>
      </c>
      <c r="K57" s="219">
        <v>3.8</v>
      </c>
      <c r="L57" s="219">
        <f>K57</f>
        <v>3.8</v>
      </c>
      <c r="M57" s="219">
        <f>K57</f>
        <v>3.8</v>
      </c>
      <c r="N57" s="346">
        <f>K57</f>
        <v>3.8</v>
      </c>
      <c r="O57" s="359">
        <f t="shared" si="1"/>
        <v>0</v>
      </c>
      <c r="P57" s="361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4"/>
    </row>
    <row r="58" spans="1:39" s="222" customFormat="1" ht="31.5" customHeight="1" collapsed="1">
      <c r="A58" s="217" t="s">
        <v>294</v>
      </c>
      <c r="B58" s="218">
        <v>3</v>
      </c>
      <c r="C58" s="162">
        <f>'[36]Факт 2015'!V73</f>
        <v>8.3000000000000007</v>
      </c>
      <c r="D58" s="223">
        <f>'[37]1.Фінансовий результат'!D66</f>
        <v>9.4</v>
      </c>
      <c r="E58" s="223">
        <f>'[38]1.Фінансовий результат'!D66</f>
        <v>10.9</v>
      </c>
      <c r="F58" s="303">
        <f>'[39]1.Фінансовий результат'!D60</f>
        <v>12.7</v>
      </c>
      <c r="G58" s="223">
        <f>'[40]1.Фінансовий результат'!H61</f>
        <v>10.9</v>
      </c>
      <c r="H58" s="223">
        <f t="shared" si="17"/>
        <v>10.9</v>
      </c>
      <c r="I58" s="223">
        <v>14</v>
      </c>
      <c r="J58" s="223">
        <f>'1.Фінансовий результат'!J61</f>
        <v>28</v>
      </c>
      <c r="K58" s="219">
        <f>3.5*2</f>
        <v>7</v>
      </c>
      <c r="L58" s="219">
        <f>$K$58</f>
        <v>7</v>
      </c>
      <c r="M58" s="219">
        <f t="shared" ref="M58:N58" si="18">$K$58</f>
        <v>7</v>
      </c>
      <c r="N58" s="346">
        <f t="shared" si="18"/>
        <v>7</v>
      </c>
      <c r="O58" s="359">
        <f t="shared" si="1"/>
        <v>14</v>
      </c>
      <c r="P58" s="362" t="s">
        <v>380</v>
      </c>
      <c r="R58" s="254"/>
      <c r="S58" s="254"/>
      <c r="T58" s="254"/>
      <c r="U58" s="254"/>
      <c r="V58" s="254"/>
      <c r="W58" s="254"/>
      <c r="X58" s="254"/>
      <c r="Y58" s="254"/>
      <c r="Z58" s="254"/>
      <c r="AA58" s="254"/>
      <c r="AB58" s="254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4"/>
    </row>
    <row r="59" spans="1:39" s="222" customFormat="1" ht="20.100000000000001" hidden="1" customHeight="1" outlineLevel="1">
      <c r="A59" s="217" t="s">
        <v>311</v>
      </c>
      <c r="B59" s="218">
        <v>4</v>
      </c>
      <c r="C59" s="162"/>
      <c r="D59" s="223">
        <f>'[37]1.Фінансовий результат'!D67</f>
        <v>0.1</v>
      </c>
      <c r="E59" s="223">
        <f>'[38]1.Фінансовий результат'!D67</f>
        <v>0.1</v>
      </c>
      <c r="F59" s="303">
        <f>'[39]1.Фінансовий результат'!D61</f>
        <v>0</v>
      </c>
      <c r="G59" s="223">
        <f>'[40]1.Фінансовий результат'!H62</f>
        <v>0.1</v>
      </c>
      <c r="H59" s="223">
        <f t="shared" si="17"/>
        <v>0.1</v>
      </c>
      <c r="I59" s="223">
        <v>0</v>
      </c>
      <c r="J59" s="223">
        <f>'1.Фінансовий результат'!J62</f>
        <v>0</v>
      </c>
      <c r="K59" s="219"/>
      <c r="L59" s="219"/>
      <c r="M59" s="219"/>
      <c r="N59" s="346"/>
      <c r="O59" s="359">
        <f t="shared" si="1"/>
        <v>0</v>
      </c>
      <c r="P59" s="362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</row>
    <row r="60" spans="1:39" s="222" customFormat="1" ht="20.100000000000001" hidden="1" customHeight="1" outlineLevel="1">
      <c r="A60" s="217" t="s">
        <v>312</v>
      </c>
      <c r="B60" s="218">
        <v>5</v>
      </c>
      <c r="C60" s="162">
        <v>19.5</v>
      </c>
      <c r="D60" s="223">
        <f>'[37]1.Фінансовий результат'!D68</f>
        <v>40.799999999999997</v>
      </c>
      <c r="E60" s="223">
        <f>'[38]1.Фінансовий результат'!D68</f>
        <v>27.5</v>
      </c>
      <c r="F60" s="303">
        <f>'[39]1.Фінансовий результат'!D62</f>
        <v>17.8</v>
      </c>
      <c r="G60" s="223">
        <f>'[40]1.Фінансовий результат'!H63</f>
        <v>42.400000000000006</v>
      </c>
      <c r="H60" s="223">
        <f t="shared" si="17"/>
        <v>42.400000000000006</v>
      </c>
      <c r="I60" s="223">
        <v>66</v>
      </c>
      <c r="J60" s="223">
        <f>'1.Фінансовий результат'!J63</f>
        <v>66</v>
      </c>
      <c r="K60" s="219">
        <f>16.5</f>
        <v>16.5</v>
      </c>
      <c r="L60" s="219">
        <f>$K$60</f>
        <v>16.5</v>
      </c>
      <c r="M60" s="219">
        <f t="shared" ref="M60:N60" si="19">$K$60</f>
        <v>16.5</v>
      </c>
      <c r="N60" s="346">
        <f t="shared" si="19"/>
        <v>16.5</v>
      </c>
      <c r="O60" s="359">
        <f t="shared" si="1"/>
        <v>0</v>
      </c>
      <c r="P60" s="362"/>
      <c r="R60" s="254"/>
      <c r="S60" s="254"/>
      <c r="T60" s="254"/>
      <c r="U60" s="254"/>
      <c r="V60" s="254"/>
      <c r="W60" s="254"/>
      <c r="X60" s="254"/>
      <c r="Y60" s="254"/>
      <c r="Z60" s="254"/>
      <c r="AA60" s="254"/>
      <c r="AB60" s="254"/>
      <c r="AC60" s="254"/>
      <c r="AD60" s="254"/>
      <c r="AE60" s="254"/>
      <c r="AF60" s="254"/>
      <c r="AG60" s="254"/>
      <c r="AH60" s="254"/>
      <c r="AI60" s="254"/>
      <c r="AJ60" s="254"/>
      <c r="AK60" s="254"/>
      <c r="AL60" s="254"/>
      <c r="AM60" s="254"/>
    </row>
    <row r="61" spans="1:39" s="222" customFormat="1" ht="20.100000000000001" hidden="1" customHeight="1" outlineLevel="1">
      <c r="A61" s="217" t="s">
        <v>295</v>
      </c>
      <c r="B61" s="218">
        <v>6</v>
      </c>
      <c r="C61" s="162">
        <f>'[36]Факт 2015'!$V$74</f>
        <v>1</v>
      </c>
      <c r="D61" s="223">
        <f>'[37]1.Фінансовий результат'!D69</f>
        <v>0</v>
      </c>
      <c r="E61" s="223">
        <f>'[38]1.Фінансовий результат'!D69</f>
        <v>0</v>
      </c>
      <c r="F61" s="303">
        <f>'[39]1.Фінансовий результат'!D63</f>
        <v>0</v>
      </c>
      <c r="G61" s="223">
        <f>'[40]1.Фінансовий результат'!H64</f>
        <v>0</v>
      </c>
      <c r="H61" s="223">
        <f t="shared" si="17"/>
        <v>0</v>
      </c>
      <c r="I61" s="223">
        <v>3</v>
      </c>
      <c r="J61" s="223">
        <f>'1.Фінансовий результат'!J64</f>
        <v>3</v>
      </c>
      <c r="K61" s="219">
        <v>3</v>
      </c>
      <c r="L61" s="219"/>
      <c r="M61" s="219"/>
      <c r="N61" s="346"/>
      <c r="O61" s="359">
        <f t="shared" si="1"/>
        <v>0</v>
      </c>
      <c r="P61" s="362"/>
      <c r="R61" s="254"/>
      <c r="S61" s="254"/>
      <c r="T61" s="254"/>
      <c r="U61" s="254"/>
      <c r="V61" s="254"/>
      <c r="W61" s="254"/>
      <c r="X61" s="254"/>
      <c r="Y61" s="254"/>
      <c r="Z61" s="254"/>
      <c r="AA61" s="254"/>
      <c r="AB61" s="254"/>
      <c r="AC61" s="254"/>
      <c r="AD61" s="254"/>
      <c r="AE61" s="254"/>
      <c r="AF61" s="254"/>
      <c r="AG61" s="254"/>
      <c r="AH61" s="254"/>
      <c r="AI61" s="254"/>
      <c r="AJ61" s="254"/>
      <c r="AK61" s="254"/>
      <c r="AL61" s="254"/>
      <c r="AM61" s="254"/>
    </row>
    <row r="62" spans="1:39" s="222" customFormat="1" ht="20.100000000000001" hidden="1" customHeight="1" outlineLevel="1">
      <c r="A62" s="221" t="s">
        <v>289</v>
      </c>
      <c r="B62" s="218">
        <v>7</v>
      </c>
      <c r="C62" s="162">
        <f>'[36]Факт 2015'!$V$42</f>
        <v>4.3000000000000007</v>
      </c>
      <c r="D62" s="223">
        <f>'[37]1.Фінансовий результат'!D70</f>
        <v>6.5000000000000009</v>
      </c>
      <c r="E62" s="223">
        <f>'[38]1.Фінансовий результат'!D70</f>
        <v>6.6</v>
      </c>
      <c r="F62" s="303">
        <f>'[39]1.Фінансовий результат'!D64</f>
        <v>2.7</v>
      </c>
      <c r="G62" s="223">
        <f>'[40]1.Фінансовий результат'!H65</f>
        <v>8.4</v>
      </c>
      <c r="H62" s="223">
        <f t="shared" si="17"/>
        <v>8.4</v>
      </c>
      <c r="I62" s="223">
        <v>5.6</v>
      </c>
      <c r="J62" s="223">
        <f>'1.Фінансовий результат'!J65</f>
        <v>5.6</v>
      </c>
      <c r="K62" s="219">
        <v>1.4</v>
      </c>
      <c r="L62" s="219">
        <f>$K$62</f>
        <v>1.4</v>
      </c>
      <c r="M62" s="219">
        <f t="shared" ref="M62:N62" si="20">$K$62</f>
        <v>1.4</v>
      </c>
      <c r="N62" s="346">
        <f t="shared" si="20"/>
        <v>1.4</v>
      </c>
      <c r="O62" s="359">
        <f t="shared" si="1"/>
        <v>0</v>
      </c>
      <c r="P62" s="362"/>
      <c r="R62" s="254"/>
      <c r="S62" s="254"/>
      <c r="T62" s="254"/>
      <c r="U62" s="254"/>
      <c r="V62" s="254"/>
      <c r="W62" s="254"/>
      <c r="X62" s="254"/>
      <c r="Y62" s="254"/>
      <c r="Z62" s="254"/>
      <c r="AA62" s="254"/>
      <c r="AB62" s="254"/>
      <c r="AC62" s="254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</row>
    <row r="63" spans="1:39" s="222" customFormat="1" ht="20.100000000000001" hidden="1" customHeight="1" outlineLevel="1">
      <c r="A63" s="221" t="s">
        <v>310</v>
      </c>
      <c r="B63" s="218">
        <v>8</v>
      </c>
      <c r="C63" s="162">
        <f>2.4+0.5</f>
        <v>2.9</v>
      </c>
      <c r="D63" s="223">
        <f>'[37]1.Фінансовий результат'!D71+1.6</f>
        <v>2.7</v>
      </c>
      <c r="E63" s="223">
        <f>'[38]1.Фінансовий результат'!D71+'[38]1.Фінансовий результат'!$D$32</f>
        <v>1.3</v>
      </c>
      <c r="F63" s="303">
        <f>'[39]1.Фінансовий результат'!D65</f>
        <v>2.2000000000000002</v>
      </c>
      <c r="G63" s="223">
        <f>'[40]1.Фінансовий результат'!H66</f>
        <v>4.8</v>
      </c>
      <c r="H63" s="223">
        <f t="shared" si="17"/>
        <v>4.8</v>
      </c>
      <c r="I63" s="223">
        <v>5.2</v>
      </c>
      <c r="J63" s="223">
        <f>'1.Фінансовий результат'!J66</f>
        <v>5.2</v>
      </c>
      <c r="K63" s="219">
        <v>1.3</v>
      </c>
      <c r="L63" s="219">
        <f>$K$63</f>
        <v>1.3</v>
      </c>
      <c r="M63" s="219">
        <f t="shared" ref="M63:N63" si="21">$K$63</f>
        <v>1.3</v>
      </c>
      <c r="N63" s="346">
        <f t="shared" si="21"/>
        <v>1.3</v>
      </c>
      <c r="O63" s="359">
        <f t="shared" si="1"/>
        <v>0</v>
      </c>
      <c r="P63" s="362"/>
      <c r="R63" s="254"/>
      <c r="S63" s="254"/>
      <c r="T63" s="254"/>
      <c r="U63" s="254"/>
      <c r="V63" s="254"/>
      <c r="W63" s="254"/>
      <c r="X63" s="254"/>
      <c r="Y63" s="254"/>
      <c r="Z63" s="254"/>
      <c r="AA63" s="254"/>
      <c r="AB63" s="254"/>
      <c r="AC63" s="254"/>
      <c r="AD63" s="254"/>
      <c r="AE63" s="254"/>
      <c r="AF63" s="254"/>
      <c r="AG63" s="254"/>
      <c r="AH63" s="254"/>
      <c r="AI63" s="254"/>
      <c r="AJ63" s="254"/>
      <c r="AK63" s="254"/>
      <c r="AL63" s="254"/>
      <c r="AM63" s="254"/>
    </row>
    <row r="64" spans="1:39" s="222" customFormat="1" ht="36.75" customHeight="1" collapsed="1">
      <c r="A64" s="217" t="s">
        <v>293</v>
      </c>
      <c r="B64" s="218">
        <v>9</v>
      </c>
      <c r="C64" s="162">
        <f>'[36]Факт 2015'!$V$75</f>
        <v>0.5</v>
      </c>
      <c r="D64" s="223">
        <f>'[37]1.Фінансовий результат'!D72</f>
        <v>1.2000000000000002</v>
      </c>
      <c r="E64" s="223">
        <f>'[38]1.Фінансовий результат'!D72</f>
        <v>0.2</v>
      </c>
      <c r="F64" s="303">
        <f>'[39]1.Фінансовий результат'!D66</f>
        <v>1.3</v>
      </c>
      <c r="G64" s="223">
        <f>'[40]1.Фінансовий результат'!H67</f>
        <v>1.6</v>
      </c>
      <c r="H64" s="223">
        <f t="shared" si="17"/>
        <v>1.6</v>
      </c>
      <c r="I64" s="223">
        <v>2</v>
      </c>
      <c r="J64" s="223">
        <f>'1.Фінансовий результат'!J67</f>
        <v>6</v>
      </c>
      <c r="K64" s="219">
        <f>1+0.5</f>
        <v>1.5</v>
      </c>
      <c r="L64" s="219">
        <f>$K$64</f>
        <v>1.5</v>
      </c>
      <c r="M64" s="219">
        <f t="shared" ref="M64:N64" si="22">$K$64</f>
        <v>1.5</v>
      </c>
      <c r="N64" s="346">
        <f t="shared" si="22"/>
        <v>1.5</v>
      </c>
      <c r="O64" s="359">
        <f t="shared" si="1"/>
        <v>4</v>
      </c>
      <c r="P64" s="362" t="s">
        <v>391</v>
      </c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  <c r="AC64" s="254"/>
      <c r="AD64" s="254"/>
      <c r="AE64" s="254"/>
      <c r="AF64" s="254"/>
      <c r="AG64" s="254"/>
      <c r="AH64" s="254"/>
      <c r="AI64" s="254"/>
      <c r="AJ64" s="254"/>
      <c r="AK64" s="254"/>
      <c r="AL64" s="254"/>
      <c r="AM64" s="254"/>
    </row>
    <row r="65" spans="1:39" s="222" customFormat="1" hidden="1" outlineLevel="1">
      <c r="A65" s="221" t="s">
        <v>285</v>
      </c>
      <c r="B65" s="218">
        <v>10</v>
      </c>
      <c r="C65" s="162">
        <v>1.0999999999999999</v>
      </c>
      <c r="D65" s="223">
        <v>1.2</v>
      </c>
      <c r="E65" s="223">
        <f>'[38]1.Фінансовий результат'!D28</f>
        <v>1.4</v>
      </c>
      <c r="F65" s="303">
        <f>'[39]1.Фінансовий результат'!D67</f>
        <v>1.1000000000000001</v>
      </c>
      <c r="G65" s="223">
        <f>'[40]1.Фінансовий результат'!H68</f>
        <v>4</v>
      </c>
      <c r="H65" s="223">
        <f t="shared" si="17"/>
        <v>4</v>
      </c>
      <c r="I65" s="223">
        <v>4.4000000000000004</v>
      </c>
      <c r="J65" s="223">
        <f>'1.Фінансовий результат'!J68</f>
        <v>4.4000000000000004</v>
      </c>
      <c r="K65" s="219">
        <v>1.1000000000000001</v>
      </c>
      <c r="L65" s="219">
        <f>K65</f>
        <v>1.1000000000000001</v>
      </c>
      <c r="M65" s="219">
        <f>K65</f>
        <v>1.1000000000000001</v>
      </c>
      <c r="N65" s="346">
        <f>K65</f>
        <v>1.1000000000000001</v>
      </c>
      <c r="O65" s="359">
        <f t="shared" si="1"/>
        <v>0</v>
      </c>
      <c r="P65" s="361"/>
      <c r="R65" s="254"/>
      <c r="S65" s="254"/>
      <c r="T65" s="254"/>
      <c r="U65" s="254"/>
      <c r="V65" s="254"/>
      <c r="W65" s="254"/>
      <c r="X65" s="254"/>
      <c r="Y65" s="254"/>
      <c r="Z65" s="254"/>
      <c r="AA65" s="254"/>
      <c r="AB65" s="254"/>
      <c r="AC65" s="254"/>
      <c r="AD65" s="254"/>
      <c r="AE65" s="254"/>
      <c r="AF65" s="254"/>
      <c r="AG65" s="254"/>
      <c r="AH65" s="254"/>
      <c r="AI65" s="254"/>
      <c r="AJ65" s="254"/>
      <c r="AK65" s="254"/>
      <c r="AL65" s="254"/>
      <c r="AM65" s="254"/>
    </row>
    <row r="66" spans="1:39" s="222" customFormat="1" hidden="1" outlineLevel="1">
      <c r="A66" s="221" t="s">
        <v>286</v>
      </c>
      <c r="B66" s="218">
        <v>11</v>
      </c>
      <c r="C66" s="162">
        <v>1</v>
      </c>
      <c r="D66" s="223">
        <v>1</v>
      </c>
      <c r="E66" s="223">
        <f>'[38]1.Фінансовий результат'!D29</f>
        <v>1.5</v>
      </c>
      <c r="F66" s="303">
        <f>'[39]1.Фінансовий результат'!D68</f>
        <v>1.7</v>
      </c>
      <c r="G66" s="223">
        <f>'[40]1.Фінансовий результат'!H69</f>
        <v>2</v>
      </c>
      <c r="H66" s="223">
        <f t="shared" si="17"/>
        <v>2</v>
      </c>
      <c r="I66" s="223">
        <v>2.8</v>
      </c>
      <c r="J66" s="223">
        <f>'1.Фінансовий результат'!J69</f>
        <v>2.8</v>
      </c>
      <c r="K66" s="219">
        <v>0.7</v>
      </c>
      <c r="L66" s="219">
        <f>K66</f>
        <v>0.7</v>
      </c>
      <c r="M66" s="219">
        <f>K66</f>
        <v>0.7</v>
      </c>
      <c r="N66" s="346">
        <f>K66</f>
        <v>0.7</v>
      </c>
      <c r="O66" s="359">
        <f t="shared" si="1"/>
        <v>0</v>
      </c>
      <c r="P66" s="361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</row>
    <row r="67" spans="1:39" s="222" customFormat="1" hidden="1" outlineLevel="1">
      <c r="A67" s="221" t="s">
        <v>288</v>
      </c>
      <c r="B67" s="218">
        <v>12</v>
      </c>
      <c r="C67" s="162">
        <v>0</v>
      </c>
      <c r="D67" s="223">
        <v>0</v>
      </c>
      <c r="E67" s="223">
        <f>'[38]1.Фінансовий результат'!D31</f>
        <v>0</v>
      </c>
      <c r="F67" s="303">
        <f>'[39]1.Фінансовий результат'!D69</f>
        <v>0</v>
      </c>
      <c r="G67" s="223">
        <f>'[40]1.Фінансовий результат'!H70</f>
        <v>3.5</v>
      </c>
      <c r="H67" s="223">
        <f t="shared" si="17"/>
        <v>3.5</v>
      </c>
      <c r="I67" s="223">
        <v>0</v>
      </c>
      <c r="J67" s="223">
        <f>'1.Фінансовий результат'!J70</f>
        <v>0</v>
      </c>
      <c r="K67" s="219"/>
      <c r="L67" s="219"/>
      <c r="M67" s="219"/>
      <c r="N67" s="346"/>
      <c r="O67" s="359">
        <f t="shared" si="1"/>
        <v>0</v>
      </c>
      <c r="P67" s="361"/>
      <c r="R67" s="254"/>
      <c r="S67" s="254"/>
      <c r="T67" s="254"/>
      <c r="U67" s="254"/>
      <c r="V67" s="254"/>
      <c r="W67" s="254"/>
      <c r="X67" s="254"/>
      <c r="Y67" s="254"/>
      <c r="Z67" s="254"/>
      <c r="AA67" s="254"/>
      <c r="AB67" s="254"/>
      <c r="AC67" s="254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</row>
    <row r="68" spans="1:39" s="222" customFormat="1" collapsed="1">
      <c r="A68" s="221" t="s">
        <v>314</v>
      </c>
      <c r="B68" s="218">
        <v>13</v>
      </c>
      <c r="C68" s="162">
        <v>13.700000000000001</v>
      </c>
      <c r="D68" s="223">
        <v>0.60000000000000009</v>
      </c>
      <c r="E68" s="223">
        <f>'[38]1.Фінансовий результат'!D33</f>
        <v>1.9</v>
      </c>
      <c r="F68" s="303">
        <f>'[39]1.Фінансовий результат'!D70</f>
        <v>23.7</v>
      </c>
      <c r="G68" s="223">
        <f>'[40]1.Фінансовий результат'!H71</f>
        <v>20.399999999999999</v>
      </c>
      <c r="H68" s="223">
        <f t="shared" si="17"/>
        <v>20.399999999999999</v>
      </c>
      <c r="I68" s="223">
        <v>22.4</v>
      </c>
      <c r="J68" s="223">
        <f>'1.Фінансовий результат'!J71</f>
        <v>51.6</v>
      </c>
      <c r="K68" s="219">
        <f>5.6+15.2-7.5</f>
        <v>13.299999999999997</v>
      </c>
      <c r="L68" s="219">
        <f>5.6+17.6-7.5</f>
        <v>15.700000000000003</v>
      </c>
      <c r="M68" s="219">
        <f>5.6+17.6-7.5-0.7</f>
        <v>15.000000000000004</v>
      </c>
      <c r="N68" s="346">
        <f>5.6+1.2-7.5+0.7+7.6</f>
        <v>7.6</v>
      </c>
      <c r="O68" s="359">
        <f t="shared" si="1"/>
        <v>29.200000000000003</v>
      </c>
      <c r="P68" s="361" t="s">
        <v>381</v>
      </c>
      <c r="R68" s="254"/>
      <c r="S68" s="254"/>
      <c r="T68" s="254"/>
      <c r="U68" s="254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4"/>
      <c r="AG68" s="254"/>
      <c r="AH68" s="254"/>
      <c r="AI68" s="254"/>
      <c r="AJ68" s="254"/>
      <c r="AK68" s="254"/>
      <c r="AL68" s="254"/>
      <c r="AM68" s="254"/>
    </row>
    <row r="69" spans="1:39" s="222" customFormat="1" ht="33" hidden="1" outlineLevel="1">
      <c r="A69" s="221" t="s">
        <v>355</v>
      </c>
      <c r="B69" s="218">
        <v>14</v>
      </c>
      <c r="C69" s="162">
        <v>3.0999999999999996</v>
      </c>
      <c r="D69" s="223">
        <v>1.0999999999999999</v>
      </c>
      <c r="E69" s="223">
        <f>'[38]1.Фінансовий результат'!D34</f>
        <v>2.6</v>
      </c>
      <c r="F69" s="303">
        <f>'[39]1.Фінансовий результат'!D71</f>
        <v>4</v>
      </c>
      <c r="G69" s="223">
        <f>'[40]1.Фінансовий результат'!H72</f>
        <v>8.8000000000000007</v>
      </c>
      <c r="H69" s="223">
        <f t="shared" si="17"/>
        <v>8.8000000000000007</v>
      </c>
      <c r="I69" s="223">
        <v>9.6</v>
      </c>
      <c r="J69" s="223">
        <f>'1.Фінансовий результат'!J72</f>
        <v>9.6</v>
      </c>
      <c r="K69" s="219">
        <v>2.4</v>
      </c>
      <c r="L69" s="219">
        <f>K69</f>
        <v>2.4</v>
      </c>
      <c r="M69" s="219">
        <f>L69</f>
        <v>2.4</v>
      </c>
      <c r="N69" s="346">
        <f>M69</f>
        <v>2.4</v>
      </c>
      <c r="O69" s="359">
        <f t="shared" si="1"/>
        <v>0</v>
      </c>
      <c r="P69" s="361"/>
      <c r="R69" s="254"/>
      <c r="S69" s="254"/>
      <c r="T69" s="254"/>
      <c r="U69" s="254"/>
      <c r="V69" s="254"/>
      <c r="W69" s="254"/>
      <c r="X69" s="254"/>
      <c r="Y69" s="254"/>
      <c r="Z69" s="254"/>
      <c r="AA69" s="254"/>
      <c r="AB69" s="254"/>
      <c r="AC69" s="254"/>
      <c r="AD69" s="254"/>
      <c r="AE69" s="254"/>
      <c r="AF69" s="254"/>
      <c r="AG69" s="254"/>
      <c r="AH69" s="254"/>
      <c r="AI69" s="254"/>
      <c r="AJ69" s="254"/>
      <c r="AK69" s="254"/>
      <c r="AL69" s="254"/>
      <c r="AM69" s="254"/>
    </row>
    <row r="70" spans="1:39" s="222" customFormat="1" hidden="1" outlineLevel="1">
      <c r="A70" s="221" t="s">
        <v>290</v>
      </c>
      <c r="B70" s="218">
        <v>15</v>
      </c>
      <c r="C70" s="162">
        <v>7.8999999999999995</v>
      </c>
      <c r="D70" s="223">
        <v>8.3000000000000007</v>
      </c>
      <c r="E70" s="223">
        <f>'[38]1.Фінансовий результат'!D35</f>
        <v>8.5</v>
      </c>
      <c r="F70" s="303">
        <f>'[39]1.Фінансовий результат'!D72</f>
        <v>10.899999999999999</v>
      </c>
      <c r="G70" s="223">
        <f>'[40]1.Фінансовий результат'!H73</f>
        <v>12</v>
      </c>
      <c r="H70" s="223">
        <f t="shared" si="17"/>
        <v>12</v>
      </c>
      <c r="I70" s="223">
        <v>13.2</v>
      </c>
      <c r="J70" s="223">
        <f>'1.Фінансовий результат'!J73</f>
        <v>13.2</v>
      </c>
      <c r="K70" s="219">
        <v>3.3</v>
      </c>
      <c r="L70" s="219">
        <f>$K$70</f>
        <v>3.3</v>
      </c>
      <c r="M70" s="219">
        <f t="shared" ref="M70:N70" si="23">$K$70</f>
        <v>3.3</v>
      </c>
      <c r="N70" s="346">
        <f t="shared" si="23"/>
        <v>3.3</v>
      </c>
      <c r="O70" s="359">
        <f t="shared" si="1"/>
        <v>0</v>
      </c>
      <c r="P70" s="361"/>
      <c r="R70" s="254"/>
      <c r="S70" s="254"/>
      <c r="T70" s="254"/>
      <c r="U70" s="254"/>
      <c r="V70" s="254"/>
      <c r="W70" s="254"/>
      <c r="X70" s="254"/>
      <c r="Y70" s="254"/>
      <c r="Z70" s="254"/>
      <c r="AA70" s="254"/>
      <c r="AB70" s="254"/>
      <c r="AC70" s="254"/>
      <c r="AD70" s="254"/>
      <c r="AE70" s="254"/>
      <c r="AF70" s="254"/>
      <c r="AG70" s="254"/>
      <c r="AH70" s="254"/>
      <c r="AI70" s="254"/>
      <c r="AJ70" s="254"/>
      <c r="AK70" s="254"/>
      <c r="AL70" s="254"/>
      <c r="AM70" s="254"/>
    </row>
    <row r="71" spans="1:39" s="174" customFormat="1" ht="20.100000000000001" hidden="1" customHeight="1" outlineLevel="1">
      <c r="A71" s="335" t="s">
        <v>182</v>
      </c>
      <c r="B71" s="173">
        <v>1110</v>
      </c>
      <c r="C71" s="159">
        <f t="shared" ref="C71:N71" si="24">SUM(C72:C77)</f>
        <v>0</v>
      </c>
      <c r="D71" s="204">
        <f t="shared" si="24"/>
        <v>0</v>
      </c>
      <c r="E71" s="204">
        <f t="shared" si="24"/>
        <v>0</v>
      </c>
      <c r="F71" s="204">
        <f t="shared" si="24"/>
        <v>0</v>
      </c>
      <c r="G71" s="204">
        <f t="shared" si="24"/>
        <v>0</v>
      </c>
      <c r="H71" s="204">
        <f t="shared" si="24"/>
        <v>0</v>
      </c>
      <c r="I71" s="204">
        <v>0</v>
      </c>
      <c r="J71" s="166">
        <f>'1.Фінансовий результат'!J74</f>
        <v>0</v>
      </c>
      <c r="K71" s="204">
        <f t="shared" si="24"/>
        <v>0</v>
      </c>
      <c r="L71" s="204">
        <f t="shared" si="24"/>
        <v>0</v>
      </c>
      <c r="M71" s="204">
        <f t="shared" si="24"/>
        <v>0</v>
      </c>
      <c r="N71" s="341">
        <f t="shared" si="24"/>
        <v>0</v>
      </c>
      <c r="O71" s="118">
        <f t="shared" si="1"/>
        <v>0</v>
      </c>
      <c r="P71" s="361"/>
      <c r="R71" s="254"/>
      <c r="S71" s="254"/>
      <c r="T71" s="254"/>
      <c r="U71" s="254"/>
      <c r="V71" s="254"/>
      <c r="W71" s="254"/>
      <c r="X71" s="254"/>
      <c r="Y71" s="254"/>
      <c r="Z71" s="254"/>
      <c r="AA71" s="254"/>
      <c r="AB71" s="254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4"/>
    </row>
    <row r="72" spans="1:39" s="177" customFormat="1" ht="20.100000000000001" hidden="1" customHeight="1" outlineLevel="1">
      <c r="A72" s="180" t="s">
        <v>153</v>
      </c>
      <c r="B72" s="215">
        <v>1111</v>
      </c>
      <c r="C72" s="154"/>
      <c r="D72" s="166">
        <f>'[37]1.Фінансовий результат'!D74</f>
        <v>0</v>
      </c>
      <c r="E72" s="166"/>
      <c r="F72" s="303">
        <f>'[39]1.Фінансовий результат'!D74</f>
        <v>0</v>
      </c>
      <c r="G72" s="223">
        <f>'[40]1.Фінансовий результат'!H75</f>
        <v>0</v>
      </c>
      <c r="H72" s="223">
        <f t="shared" ref="H72:H77" si="25">G72</f>
        <v>0</v>
      </c>
      <c r="I72" s="223"/>
      <c r="J72" s="166">
        <f>'1.Фінансовий результат'!J75</f>
        <v>0</v>
      </c>
      <c r="K72" s="227"/>
      <c r="L72" s="227"/>
      <c r="M72" s="227"/>
      <c r="N72" s="348"/>
      <c r="O72" s="118">
        <f t="shared" ref="O72:O118" si="26">J72-I72</f>
        <v>0</v>
      </c>
      <c r="P72" s="361"/>
      <c r="R72" s="254"/>
      <c r="S72" s="254"/>
      <c r="T72" s="254"/>
      <c r="U72" s="254"/>
      <c r="V72" s="254"/>
      <c r="W72" s="254"/>
      <c r="X72" s="254"/>
      <c r="Y72" s="254"/>
      <c r="Z72" s="254"/>
      <c r="AA72" s="254"/>
      <c r="AB72" s="254"/>
      <c r="AC72" s="254"/>
      <c r="AD72" s="254"/>
      <c r="AE72" s="254"/>
      <c r="AF72" s="254"/>
      <c r="AG72" s="254"/>
      <c r="AH72" s="254"/>
      <c r="AI72" s="254"/>
      <c r="AJ72" s="254"/>
      <c r="AK72" s="254"/>
      <c r="AL72" s="254"/>
      <c r="AM72" s="254"/>
    </row>
    <row r="73" spans="1:39" s="177" customFormat="1" ht="20.100000000000001" hidden="1" customHeight="1" outlineLevel="1">
      <c r="A73" s="180" t="s">
        <v>154</v>
      </c>
      <c r="B73" s="215">
        <v>1112</v>
      </c>
      <c r="C73" s="154"/>
      <c r="D73" s="166">
        <f>'[37]1.Фінансовий результат'!D75</f>
        <v>0</v>
      </c>
      <c r="E73" s="166"/>
      <c r="F73" s="303">
        <f>'[39]1.Фінансовий результат'!D75</f>
        <v>0</v>
      </c>
      <c r="G73" s="223">
        <f>'[40]1.Фінансовий результат'!H76</f>
        <v>0</v>
      </c>
      <c r="H73" s="223">
        <f t="shared" si="25"/>
        <v>0</v>
      </c>
      <c r="I73" s="223"/>
      <c r="J73" s="166">
        <f>'1.Фінансовий результат'!J76</f>
        <v>0</v>
      </c>
      <c r="K73" s="227"/>
      <c r="L73" s="227"/>
      <c r="M73" s="227"/>
      <c r="N73" s="348"/>
      <c r="O73" s="118">
        <f t="shared" si="26"/>
        <v>0</v>
      </c>
      <c r="P73" s="361"/>
      <c r="R73" s="254"/>
      <c r="S73" s="254"/>
      <c r="T73" s="254"/>
      <c r="U73" s="254"/>
      <c r="V73" s="254"/>
      <c r="W73" s="254"/>
      <c r="X73" s="254"/>
      <c r="Y73" s="254"/>
      <c r="Z73" s="254"/>
      <c r="AA73" s="254"/>
      <c r="AB73" s="254"/>
      <c r="AC73" s="254"/>
      <c r="AD73" s="254"/>
      <c r="AE73" s="254"/>
      <c r="AF73" s="254"/>
      <c r="AG73" s="254"/>
      <c r="AH73" s="254"/>
      <c r="AI73" s="254"/>
      <c r="AJ73" s="254"/>
      <c r="AK73" s="254"/>
      <c r="AL73" s="254"/>
      <c r="AM73" s="254"/>
    </row>
    <row r="74" spans="1:39" s="177" customFormat="1" ht="20.100000000000001" hidden="1" customHeight="1" outlineLevel="1">
      <c r="A74" s="180" t="s">
        <v>26</v>
      </c>
      <c r="B74" s="215">
        <v>1113</v>
      </c>
      <c r="C74" s="154"/>
      <c r="D74" s="166">
        <f>'[37]1.Фінансовий результат'!D76</f>
        <v>0</v>
      </c>
      <c r="E74" s="166"/>
      <c r="F74" s="303">
        <f>'[39]1.Фінансовий результат'!D76</f>
        <v>0</v>
      </c>
      <c r="G74" s="223">
        <f>'[40]1.Фінансовий результат'!H77</f>
        <v>0</v>
      </c>
      <c r="H74" s="223">
        <f t="shared" si="25"/>
        <v>0</v>
      </c>
      <c r="I74" s="223"/>
      <c r="J74" s="166">
        <f>'1.Фінансовий результат'!J77</f>
        <v>0</v>
      </c>
      <c r="K74" s="227"/>
      <c r="L74" s="227"/>
      <c r="M74" s="227"/>
      <c r="N74" s="348"/>
      <c r="O74" s="118">
        <f t="shared" si="26"/>
        <v>0</v>
      </c>
      <c r="P74" s="361"/>
      <c r="R74" s="254"/>
      <c r="S74" s="254"/>
      <c r="T74" s="254"/>
      <c r="U74" s="254"/>
      <c r="V74" s="254"/>
      <c r="W74" s="254"/>
      <c r="X74" s="254"/>
      <c r="Y74" s="254"/>
      <c r="Z74" s="254"/>
      <c r="AA74" s="254"/>
      <c r="AB74" s="254"/>
      <c r="AC74" s="254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/>
    </row>
    <row r="75" spans="1:39" s="177" customFormat="1" ht="37.5" hidden="1" outlineLevel="1">
      <c r="A75" s="180" t="s">
        <v>49</v>
      </c>
      <c r="B75" s="215">
        <v>1114</v>
      </c>
      <c r="C75" s="154"/>
      <c r="D75" s="166">
        <f>'[37]1.Фінансовий результат'!D77</f>
        <v>0</v>
      </c>
      <c r="E75" s="166"/>
      <c r="F75" s="303">
        <f>'[39]1.Фінансовий результат'!D77</f>
        <v>0</v>
      </c>
      <c r="G75" s="223">
        <f>'[40]1.Фінансовий результат'!H78</f>
        <v>0</v>
      </c>
      <c r="H75" s="223">
        <f t="shared" si="25"/>
        <v>0</v>
      </c>
      <c r="I75" s="223"/>
      <c r="J75" s="166">
        <f>'1.Фінансовий результат'!J78</f>
        <v>0</v>
      </c>
      <c r="K75" s="227"/>
      <c r="L75" s="227"/>
      <c r="M75" s="227"/>
      <c r="N75" s="348"/>
      <c r="O75" s="118">
        <f t="shared" si="26"/>
        <v>0</v>
      </c>
      <c r="P75" s="361"/>
      <c r="R75" s="254"/>
      <c r="S75" s="254"/>
      <c r="T75" s="254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4"/>
      <c r="AG75" s="254"/>
      <c r="AH75" s="254"/>
      <c r="AI75" s="254"/>
      <c r="AJ75" s="254"/>
      <c r="AK75" s="254"/>
      <c r="AL75" s="254"/>
      <c r="AM75" s="254"/>
    </row>
    <row r="76" spans="1:39" s="177" customFormat="1" ht="20.100000000000001" hidden="1" customHeight="1" outlineLevel="1">
      <c r="A76" s="180" t="s">
        <v>65</v>
      </c>
      <c r="B76" s="215">
        <v>1115</v>
      </c>
      <c r="C76" s="154"/>
      <c r="D76" s="166">
        <f>'[37]1.Фінансовий результат'!D78</f>
        <v>0</v>
      </c>
      <c r="E76" s="166"/>
      <c r="F76" s="303">
        <f>'[39]1.Фінансовий результат'!D78</f>
        <v>0</v>
      </c>
      <c r="G76" s="223">
        <f>'[40]1.Фінансовий результат'!H79</f>
        <v>0</v>
      </c>
      <c r="H76" s="223">
        <f t="shared" si="25"/>
        <v>0</v>
      </c>
      <c r="I76" s="223"/>
      <c r="J76" s="166">
        <f>'1.Фінансовий результат'!J79</f>
        <v>0</v>
      </c>
      <c r="K76" s="227"/>
      <c r="L76" s="227"/>
      <c r="M76" s="227"/>
      <c r="N76" s="348"/>
      <c r="O76" s="118">
        <f t="shared" si="26"/>
        <v>0</v>
      </c>
      <c r="P76" s="361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54"/>
      <c r="AD76" s="254"/>
      <c r="AE76" s="254"/>
      <c r="AF76" s="254"/>
      <c r="AG76" s="254"/>
      <c r="AH76" s="254"/>
      <c r="AI76" s="254"/>
      <c r="AJ76" s="254"/>
      <c r="AK76" s="254"/>
      <c r="AL76" s="254"/>
      <c r="AM76" s="254"/>
    </row>
    <row r="77" spans="1:39" s="177" customFormat="1" ht="20.100000000000001" hidden="1" customHeight="1" outlineLevel="1">
      <c r="A77" s="180" t="s">
        <v>107</v>
      </c>
      <c r="B77" s="215">
        <v>1116</v>
      </c>
      <c r="C77" s="154"/>
      <c r="D77" s="166">
        <f>'[37]1.Фінансовий результат'!D79</f>
        <v>0</v>
      </c>
      <c r="E77" s="166"/>
      <c r="F77" s="303">
        <f>'[39]1.Фінансовий результат'!D79</f>
        <v>0</v>
      </c>
      <c r="G77" s="223">
        <f>'[40]1.Фінансовий результат'!H80</f>
        <v>0</v>
      </c>
      <c r="H77" s="223">
        <f t="shared" si="25"/>
        <v>0</v>
      </c>
      <c r="I77" s="223"/>
      <c r="J77" s="166">
        <f>'1.Фінансовий результат'!J80</f>
        <v>0</v>
      </c>
      <c r="K77" s="227"/>
      <c r="L77" s="227"/>
      <c r="M77" s="227"/>
      <c r="N77" s="348"/>
      <c r="O77" s="118">
        <f t="shared" si="26"/>
        <v>0</v>
      </c>
      <c r="P77" s="361"/>
      <c r="Q77" s="249"/>
      <c r="R77" s="254"/>
      <c r="S77" s="254"/>
      <c r="T77" s="254"/>
      <c r="U77" s="254"/>
      <c r="V77" s="254"/>
      <c r="W77" s="254"/>
      <c r="X77" s="254"/>
      <c r="Y77" s="254"/>
      <c r="Z77" s="254"/>
      <c r="AA77" s="254"/>
      <c r="AB77" s="254"/>
      <c r="AC77" s="254"/>
      <c r="AD77" s="254"/>
      <c r="AE77" s="254"/>
      <c r="AF77" s="254"/>
      <c r="AG77" s="254"/>
      <c r="AH77" s="254"/>
      <c r="AI77" s="254"/>
      <c r="AJ77" s="254"/>
      <c r="AK77" s="254"/>
      <c r="AL77" s="254"/>
      <c r="AM77" s="254"/>
    </row>
    <row r="78" spans="1:39" s="177" customFormat="1" ht="37.5" hidden="1" outlineLevel="1">
      <c r="A78" s="228" t="s">
        <v>66</v>
      </c>
      <c r="B78" s="173">
        <v>1120</v>
      </c>
      <c r="C78" s="159">
        <f t="shared" ref="C78:M78" si="27">SUM(C79:C83)</f>
        <v>939.5</v>
      </c>
      <c r="D78" s="204">
        <f t="shared" si="27"/>
        <v>1563</v>
      </c>
      <c r="E78" s="204">
        <f t="shared" si="27"/>
        <v>2211.7000000000003</v>
      </c>
      <c r="F78" s="204">
        <f t="shared" si="27"/>
        <v>2982.7999999999993</v>
      </c>
      <c r="G78" s="204">
        <f t="shared" si="27"/>
        <v>3355.9</v>
      </c>
      <c r="H78" s="204">
        <f t="shared" si="27"/>
        <v>3355.9</v>
      </c>
      <c r="I78" s="204">
        <v>4317</v>
      </c>
      <c r="J78" s="204">
        <f>'1.Фінансовий результат'!J81</f>
        <v>4317</v>
      </c>
      <c r="K78" s="204">
        <f t="shared" si="27"/>
        <v>966.4</v>
      </c>
      <c r="L78" s="204">
        <f t="shared" si="27"/>
        <v>1036.5</v>
      </c>
      <c r="M78" s="204">
        <f t="shared" si="27"/>
        <v>1118.5</v>
      </c>
      <c r="N78" s="341">
        <f>SUM(N79:N83)</f>
        <v>1195.5999999999999</v>
      </c>
      <c r="O78" s="118">
        <f t="shared" si="26"/>
        <v>0</v>
      </c>
      <c r="P78" s="361"/>
      <c r="Q78" s="249"/>
      <c r="R78" s="254"/>
      <c r="S78" s="254"/>
      <c r="T78" s="254"/>
      <c r="U78" s="254"/>
      <c r="V78" s="254"/>
      <c r="W78" s="254"/>
      <c r="X78" s="254"/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4"/>
    </row>
    <row r="79" spans="1:39" s="177" customFormat="1" ht="20.100000000000001" hidden="1" customHeight="1" outlineLevel="1">
      <c r="A79" s="180" t="s">
        <v>56</v>
      </c>
      <c r="B79" s="215">
        <v>1121</v>
      </c>
      <c r="C79" s="154"/>
      <c r="D79" s="166">
        <f>'[37]1.Фінансовий результат'!D81</f>
        <v>0</v>
      </c>
      <c r="E79" s="166"/>
      <c r="F79" s="303">
        <f>'[39]1.Фінансовий результат'!D81</f>
        <v>0</v>
      </c>
      <c r="G79" s="223">
        <f>'[40]1.Фінансовий результат'!H82</f>
        <v>0</v>
      </c>
      <c r="H79" s="223">
        <f t="shared" ref="H79:H82" si="28">G79</f>
        <v>0</v>
      </c>
      <c r="I79" s="223"/>
      <c r="J79" s="166">
        <f>'1.Фінансовий результат'!J82</f>
        <v>0</v>
      </c>
      <c r="K79" s="227"/>
      <c r="L79" s="227"/>
      <c r="M79" s="227"/>
      <c r="N79" s="348"/>
      <c r="O79" s="118">
        <f t="shared" si="26"/>
        <v>0</v>
      </c>
      <c r="P79" s="361"/>
      <c r="Q79" s="249"/>
      <c r="R79" s="254"/>
      <c r="S79" s="254"/>
      <c r="T79" s="254"/>
      <c r="U79" s="254"/>
      <c r="V79" s="254"/>
      <c r="W79" s="254"/>
      <c r="X79" s="254"/>
      <c r="Y79" s="254"/>
      <c r="Z79" s="254"/>
      <c r="AA79" s="254"/>
      <c r="AB79" s="254"/>
      <c r="AC79" s="254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</row>
    <row r="80" spans="1:39" s="177" customFormat="1" ht="20.100000000000001" hidden="1" customHeight="1" outlineLevel="1">
      <c r="A80" s="180" t="s">
        <v>37</v>
      </c>
      <c r="B80" s="215">
        <v>1122</v>
      </c>
      <c r="C80" s="154">
        <v>77.099999999999994</v>
      </c>
      <c r="D80" s="166">
        <f>'[37]1.Фінансовий результат'!D82</f>
        <v>0</v>
      </c>
      <c r="E80" s="166">
        <f>'[38]1.Фінансовий результат'!$D$82</f>
        <v>10.8</v>
      </c>
      <c r="F80" s="303">
        <f>'[39]1.Фінансовий результат'!D82</f>
        <v>0</v>
      </c>
      <c r="G80" s="223">
        <f>'[40]1.Фінансовий результат'!H83</f>
        <v>0</v>
      </c>
      <c r="H80" s="223">
        <f t="shared" si="28"/>
        <v>0</v>
      </c>
      <c r="I80" s="223">
        <v>0</v>
      </c>
      <c r="J80" s="166">
        <f>'1.Фінансовий результат'!J83</f>
        <v>0</v>
      </c>
      <c r="K80" s="227"/>
      <c r="L80" s="227"/>
      <c r="M80" s="227"/>
      <c r="N80" s="348"/>
      <c r="O80" s="118">
        <f t="shared" si="26"/>
        <v>0</v>
      </c>
      <c r="P80" s="361"/>
      <c r="Q80" s="249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  <c r="AK80" s="254"/>
      <c r="AL80" s="254"/>
      <c r="AM80" s="254"/>
    </row>
    <row r="81" spans="1:39" s="177" customFormat="1" ht="37.5" hidden="1" outlineLevel="1">
      <c r="A81" s="180" t="s">
        <v>47</v>
      </c>
      <c r="B81" s="215">
        <v>1123</v>
      </c>
      <c r="C81" s="154"/>
      <c r="D81" s="166">
        <f>'[37]1.Фінансовий результат'!D83</f>
        <v>0</v>
      </c>
      <c r="E81" s="166"/>
      <c r="F81" s="303">
        <f>'[39]1.Фінансовий результат'!D83</f>
        <v>0</v>
      </c>
      <c r="G81" s="223">
        <f>'[40]1.Фінансовий результат'!H84</f>
        <v>0</v>
      </c>
      <c r="H81" s="223">
        <f t="shared" si="28"/>
        <v>0</v>
      </c>
      <c r="I81" s="223"/>
      <c r="J81" s="166">
        <f>'1.Фінансовий результат'!J84</f>
        <v>0</v>
      </c>
      <c r="K81" s="227"/>
      <c r="L81" s="227"/>
      <c r="M81" s="227"/>
      <c r="N81" s="348"/>
      <c r="O81" s="118">
        <f t="shared" si="26"/>
        <v>0</v>
      </c>
      <c r="P81" s="361"/>
      <c r="Q81" s="249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  <c r="AK81" s="254"/>
      <c r="AL81" s="254"/>
      <c r="AM81" s="254"/>
    </row>
    <row r="82" spans="1:39" s="177" customFormat="1" ht="20.100000000000001" hidden="1" customHeight="1" outlineLevel="1">
      <c r="A82" s="180" t="s">
        <v>175</v>
      </c>
      <c r="B82" s="215">
        <v>1124</v>
      </c>
      <c r="C82" s="154"/>
      <c r="D82" s="166">
        <f>'[37]1.Фінансовий результат'!D84</f>
        <v>0</v>
      </c>
      <c r="E82" s="166"/>
      <c r="F82" s="303">
        <f>'[39]1.Фінансовий результат'!D84</f>
        <v>0</v>
      </c>
      <c r="G82" s="223">
        <f>'[40]1.Фінансовий результат'!H85</f>
        <v>0</v>
      </c>
      <c r="H82" s="223">
        <f t="shared" si="28"/>
        <v>0</v>
      </c>
      <c r="I82" s="223"/>
      <c r="J82" s="166">
        <f>'1.Фінансовий результат'!J85</f>
        <v>0</v>
      </c>
      <c r="K82" s="227"/>
      <c r="L82" s="227"/>
      <c r="M82" s="227"/>
      <c r="N82" s="348"/>
      <c r="O82" s="118">
        <f t="shared" si="26"/>
        <v>0</v>
      </c>
      <c r="P82" s="361"/>
      <c r="Q82" s="249"/>
      <c r="R82" s="254"/>
      <c r="S82" s="254"/>
      <c r="T82" s="254"/>
      <c r="U82" s="254"/>
      <c r="V82" s="254"/>
      <c r="W82" s="254"/>
      <c r="X82" s="254"/>
      <c r="Y82" s="254"/>
      <c r="Z82" s="254"/>
      <c r="AA82" s="254"/>
      <c r="AB82" s="254"/>
      <c r="AC82" s="254"/>
      <c r="AD82" s="254"/>
      <c r="AE82" s="254"/>
      <c r="AF82" s="254"/>
      <c r="AG82" s="254"/>
      <c r="AH82" s="254"/>
      <c r="AI82" s="254"/>
      <c r="AJ82" s="254"/>
      <c r="AK82" s="254"/>
      <c r="AL82" s="254"/>
      <c r="AM82" s="254"/>
    </row>
    <row r="83" spans="1:39" s="177" customFormat="1" ht="20.100000000000001" hidden="1" customHeight="1" outlineLevel="1">
      <c r="A83" s="180" t="s">
        <v>191</v>
      </c>
      <c r="B83" s="215">
        <v>1125</v>
      </c>
      <c r="C83" s="227">
        <f>SUM(C84:C85)</f>
        <v>862.4</v>
      </c>
      <c r="D83" s="227">
        <f t="shared" ref="D83:N83" si="29">SUM(D84:D85)</f>
        <v>1563</v>
      </c>
      <c r="E83" s="227">
        <f t="shared" si="29"/>
        <v>2200.9</v>
      </c>
      <c r="F83" s="227">
        <f t="shared" si="29"/>
        <v>2982.7999999999993</v>
      </c>
      <c r="G83" s="227">
        <f t="shared" si="29"/>
        <v>3355.9</v>
      </c>
      <c r="H83" s="227">
        <f t="shared" si="29"/>
        <v>3355.9</v>
      </c>
      <c r="I83" s="227">
        <v>4317</v>
      </c>
      <c r="J83" s="166">
        <f>'1.Фінансовий результат'!J86</f>
        <v>4317</v>
      </c>
      <c r="K83" s="227">
        <f t="shared" si="29"/>
        <v>966.4</v>
      </c>
      <c r="L83" s="227">
        <f t="shared" si="29"/>
        <v>1036.5</v>
      </c>
      <c r="M83" s="227">
        <f t="shared" si="29"/>
        <v>1118.5</v>
      </c>
      <c r="N83" s="348">
        <f t="shared" si="29"/>
        <v>1195.5999999999999</v>
      </c>
      <c r="O83" s="118">
        <f t="shared" si="26"/>
        <v>0</v>
      </c>
      <c r="P83" s="361"/>
      <c r="Q83" s="249"/>
      <c r="R83" s="254"/>
      <c r="S83" s="254"/>
      <c r="T83" s="254"/>
      <c r="U83" s="254"/>
      <c r="V83" s="254"/>
      <c r="W83" s="254"/>
      <c r="X83" s="254"/>
      <c r="Y83" s="254"/>
      <c r="Z83" s="254"/>
      <c r="AA83" s="254"/>
      <c r="AB83" s="254"/>
      <c r="AC83" s="254"/>
      <c r="AD83" s="254"/>
      <c r="AE83" s="254"/>
      <c r="AF83" s="254"/>
      <c r="AG83" s="254"/>
      <c r="AH83" s="254"/>
      <c r="AI83" s="254"/>
      <c r="AJ83" s="254"/>
      <c r="AK83" s="254"/>
      <c r="AL83" s="254"/>
      <c r="AM83" s="254"/>
    </row>
    <row r="84" spans="1:39" s="177" customFormat="1" hidden="1" outlineLevel="1">
      <c r="A84" s="241" t="s">
        <v>348</v>
      </c>
      <c r="B84" s="243">
        <v>1</v>
      </c>
      <c r="C84" s="154">
        <f>C29</f>
        <v>699.3</v>
      </c>
      <c r="D84" s="223">
        <f>D29</f>
        <v>1296.5999999999999</v>
      </c>
      <c r="E84" s="223">
        <f>E29-E85-39.4</f>
        <v>2077.1</v>
      </c>
      <c r="F84" s="303">
        <f>'[39]1.Фінансовий результат'!D86</f>
        <v>2396.4999999999995</v>
      </c>
      <c r="G84" s="223">
        <f>'[40]1.Фінансовий результат'!H87</f>
        <v>3213.5</v>
      </c>
      <c r="H84" s="223">
        <f t="shared" ref="H84:H85" si="30">G84</f>
        <v>3213.5</v>
      </c>
      <c r="I84" s="223">
        <v>4252.2</v>
      </c>
      <c r="J84" s="223">
        <f>'1.Фінансовий результат'!J87</f>
        <v>4252.2</v>
      </c>
      <c r="K84" s="244">
        <f>K29</f>
        <v>966.4</v>
      </c>
      <c r="L84" s="244">
        <f>L29</f>
        <v>1014.9</v>
      </c>
      <c r="M84" s="244">
        <f>M29</f>
        <v>1096.9000000000001</v>
      </c>
      <c r="N84" s="351">
        <f>N29</f>
        <v>1174</v>
      </c>
      <c r="O84" s="118">
        <f t="shared" si="26"/>
        <v>0</v>
      </c>
      <c r="P84" s="361"/>
      <c r="Q84" s="249"/>
      <c r="R84" s="254"/>
      <c r="S84" s="254"/>
      <c r="T84" s="254"/>
      <c r="U84" s="254"/>
      <c r="V84" s="254"/>
      <c r="W84" s="254"/>
      <c r="X84" s="254"/>
      <c r="Y84" s="254"/>
      <c r="Z84" s="254"/>
      <c r="AA84" s="254"/>
      <c r="AB84" s="254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4"/>
    </row>
    <row r="85" spans="1:39" s="177" customFormat="1" ht="20.100000000000001" hidden="1" customHeight="1" outlineLevel="1">
      <c r="A85" s="217" t="s">
        <v>296</v>
      </c>
      <c r="B85" s="242">
        <v>2</v>
      </c>
      <c r="C85" s="154">
        <v>163.1</v>
      </c>
      <c r="D85" s="223">
        <v>266.40000000000003</v>
      </c>
      <c r="E85" s="223">
        <f>'[38]1.Фінансовий результат'!$D$26</f>
        <v>123.8</v>
      </c>
      <c r="F85" s="303">
        <f>'[39]1.Фінансовий результат'!D87</f>
        <v>586.29999999999995</v>
      </c>
      <c r="G85" s="223">
        <f>'[40]1.Фінансовий результат'!H88</f>
        <v>142.4</v>
      </c>
      <c r="H85" s="223">
        <f t="shared" si="30"/>
        <v>142.4</v>
      </c>
      <c r="I85" s="223">
        <v>64.800000000000011</v>
      </c>
      <c r="J85" s="223">
        <f>'1.Фінансовий результат'!J88</f>
        <v>64.800000000000011</v>
      </c>
      <c r="K85" s="244"/>
      <c r="L85" s="244">
        <f>21.6</f>
        <v>21.6</v>
      </c>
      <c r="M85" s="244">
        <f>L85</f>
        <v>21.6</v>
      </c>
      <c r="N85" s="351">
        <f>M85</f>
        <v>21.6</v>
      </c>
      <c r="O85" s="118">
        <f t="shared" si="26"/>
        <v>0</v>
      </c>
      <c r="P85" s="361"/>
      <c r="Q85" s="249"/>
      <c r="R85" s="254"/>
      <c r="S85" s="254"/>
      <c r="T85" s="254"/>
      <c r="U85" s="254"/>
      <c r="V85" s="254"/>
      <c r="W85" s="254"/>
      <c r="X85" s="254"/>
      <c r="Y85" s="254"/>
      <c r="Z85" s="254"/>
      <c r="AA85" s="254"/>
      <c r="AB85" s="254"/>
      <c r="AC85" s="254"/>
      <c r="AD85" s="254"/>
      <c r="AE85" s="254"/>
      <c r="AF85" s="254"/>
      <c r="AG85" s="254"/>
      <c r="AH85" s="254"/>
      <c r="AI85" s="254"/>
      <c r="AJ85" s="254"/>
      <c r="AK85" s="254"/>
      <c r="AL85" s="254"/>
      <c r="AM85" s="254"/>
    </row>
    <row r="86" spans="1:39" s="106" customFormat="1" ht="44.25" customHeight="1" collapsed="1">
      <c r="A86" s="104" t="s">
        <v>257</v>
      </c>
      <c r="B86" s="107">
        <v>1130</v>
      </c>
      <c r="C86" s="153">
        <f t="shared" ref="C86:N86" si="31">C27+C28-C32-C71-C78</f>
        <v>-590.40000000000066</v>
      </c>
      <c r="D86" s="124">
        <f t="shared" si="31"/>
        <v>-1597.9999999999993</v>
      </c>
      <c r="E86" s="124">
        <f t="shared" si="31"/>
        <v>-1184.000000000003</v>
      </c>
      <c r="F86" s="124">
        <f t="shared" si="31"/>
        <v>-6000.0999999999985</v>
      </c>
      <c r="G86" s="124">
        <f t="shared" si="31"/>
        <v>-7958.5</v>
      </c>
      <c r="H86" s="124">
        <f t="shared" si="31"/>
        <v>-7958.5</v>
      </c>
      <c r="I86" s="124">
        <v>-10443.199999999999</v>
      </c>
      <c r="J86" s="124">
        <f>'1.Фінансовий результат'!J89</f>
        <v>-12031.2</v>
      </c>
      <c r="K86" s="124">
        <f t="shared" si="31"/>
        <v>-2859.3999999999996</v>
      </c>
      <c r="L86" s="124">
        <f t="shared" si="31"/>
        <v>-3359.5999999999995</v>
      </c>
      <c r="M86" s="124">
        <f t="shared" si="31"/>
        <v>-3405.7999999999993</v>
      </c>
      <c r="N86" s="124">
        <f t="shared" si="31"/>
        <v>-3410.9999999999986</v>
      </c>
      <c r="O86" s="358">
        <f t="shared" si="26"/>
        <v>-1588.0000000000018</v>
      </c>
      <c r="P86" s="363"/>
      <c r="Q86" s="249"/>
      <c r="R86" s="254"/>
      <c r="S86" s="254"/>
      <c r="T86" s="254"/>
      <c r="U86" s="254"/>
      <c r="V86" s="254"/>
      <c r="W86" s="254"/>
      <c r="X86" s="254"/>
      <c r="Y86" s="254"/>
      <c r="Z86" s="254"/>
      <c r="AA86" s="254"/>
      <c r="AB86" s="254"/>
      <c r="AC86" s="254"/>
      <c r="AD86" s="254"/>
      <c r="AE86" s="254"/>
      <c r="AF86" s="254"/>
      <c r="AG86" s="254"/>
      <c r="AH86" s="254"/>
      <c r="AI86" s="254"/>
      <c r="AJ86" s="254"/>
      <c r="AK86" s="254"/>
      <c r="AL86" s="254"/>
      <c r="AM86" s="254"/>
    </row>
    <row r="87" spans="1:39" s="174" customFormat="1" ht="20.100000000000001" customHeight="1">
      <c r="A87" s="335" t="s">
        <v>91</v>
      </c>
      <c r="B87" s="173">
        <v>1140</v>
      </c>
      <c r="C87" s="161">
        <f t="shared" ref="C87:N87" si="32">SUM(C88)</f>
        <v>46</v>
      </c>
      <c r="D87" s="168">
        <f t="shared" si="32"/>
        <v>340.40000000000003</v>
      </c>
      <c r="E87" s="168">
        <f t="shared" si="32"/>
        <v>938.7</v>
      </c>
      <c r="F87" s="168">
        <f t="shared" si="32"/>
        <v>5806.4</v>
      </c>
      <c r="G87" s="168">
        <f t="shared" si="32"/>
        <v>7967.7</v>
      </c>
      <c r="H87" s="168">
        <f t="shared" si="32"/>
        <v>7967.7</v>
      </c>
      <c r="I87" s="168">
        <v>10522.2</v>
      </c>
      <c r="J87" s="204">
        <f>'1.Фінансовий результат'!J90</f>
        <v>12110.2</v>
      </c>
      <c r="K87" s="168" t="e">
        <f t="shared" si="32"/>
        <v>#REF!</v>
      </c>
      <c r="L87" s="168" t="e">
        <f t="shared" si="32"/>
        <v>#REF!</v>
      </c>
      <c r="M87" s="168" t="e">
        <f t="shared" si="32"/>
        <v>#REF!</v>
      </c>
      <c r="N87" s="345" t="e">
        <f t="shared" si="32"/>
        <v>#REF!</v>
      </c>
      <c r="O87" s="357">
        <f t="shared" si="26"/>
        <v>1588</v>
      </c>
      <c r="P87" s="361"/>
      <c r="Q87" s="249"/>
      <c r="R87" s="254"/>
      <c r="S87" s="254"/>
      <c r="T87" s="254"/>
      <c r="U87" s="254"/>
      <c r="V87" s="254"/>
      <c r="W87" s="254"/>
      <c r="X87" s="254"/>
      <c r="Y87" s="254"/>
      <c r="Z87" s="254"/>
      <c r="AA87" s="254"/>
      <c r="AB87" s="254"/>
      <c r="AC87" s="254"/>
      <c r="AD87" s="254"/>
      <c r="AE87" s="254"/>
      <c r="AF87" s="254"/>
      <c r="AG87" s="254"/>
      <c r="AH87" s="254"/>
      <c r="AI87" s="254"/>
      <c r="AJ87" s="254"/>
      <c r="AK87" s="254"/>
      <c r="AL87" s="254"/>
      <c r="AM87" s="254"/>
    </row>
    <row r="88" spans="1:39" s="220" customFormat="1" ht="42" customHeight="1">
      <c r="A88" s="217" t="s">
        <v>331</v>
      </c>
      <c r="B88" s="218">
        <v>1</v>
      </c>
      <c r="C88" s="164">
        <f>'[36]Факт 2015'!$V$22</f>
        <v>46</v>
      </c>
      <c r="D88" s="223">
        <f>'[37]1.Фінансовий результат'!D88</f>
        <v>340.40000000000003</v>
      </c>
      <c r="E88" s="223">
        <f>E89+E91+E92</f>
        <v>938.7</v>
      </c>
      <c r="F88" s="223">
        <f>F89+F91+F92+F93</f>
        <v>5806.4</v>
      </c>
      <c r="G88" s="223">
        <f>G89+G91+G92+G93</f>
        <v>7967.7</v>
      </c>
      <c r="H88" s="223">
        <f>H89+H91+H92+H93</f>
        <v>7967.7</v>
      </c>
      <c r="I88" s="223">
        <v>10522.2</v>
      </c>
      <c r="J88" s="223">
        <f>'1.Фінансовий результат'!J91</f>
        <v>12110.2</v>
      </c>
      <c r="K88" s="219" t="e">
        <f>K89+K91+K93+#REF!+#REF!</f>
        <v>#REF!</v>
      </c>
      <c r="L88" s="219" t="e">
        <f>L89+L91+L93+#REF!+#REF!</f>
        <v>#REF!</v>
      </c>
      <c r="M88" s="219" t="e">
        <f>M89+M91+M93+#REF!+#REF!</f>
        <v>#REF!</v>
      </c>
      <c r="N88" s="346" t="e">
        <f>N89+N91+N93+#REF!+#REF!</f>
        <v>#REF!</v>
      </c>
      <c r="O88" s="359">
        <f t="shared" si="26"/>
        <v>1588</v>
      </c>
      <c r="P88" s="361"/>
      <c r="Q88" s="249"/>
      <c r="R88" s="254"/>
      <c r="S88" s="254"/>
      <c r="T88" s="254"/>
      <c r="U88" s="254"/>
      <c r="V88" s="254"/>
      <c r="W88" s="254"/>
      <c r="X88" s="254"/>
      <c r="Y88" s="254"/>
      <c r="Z88" s="254"/>
      <c r="AA88" s="254"/>
      <c r="AB88" s="254"/>
      <c r="AC88" s="254"/>
      <c r="AD88" s="254"/>
      <c r="AE88" s="254"/>
      <c r="AF88" s="254"/>
      <c r="AG88" s="254"/>
      <c r="AH88" s="254"/>
      <c r="AI88" s="254"/>
      <c r="AJ88" s="254"/>
      <c r="AK88" s="254"/>
      <c r="AL88" s="254"/>
      <c r="AM88" s="254"/>
    </row>
    <row r="89" spans="1:39" s="231" customFormat="1" ht="30">
      <c r="A89" s="232" t="s">
        <v>334</v>
      </c>
      <c r="B89" s="229" t="s">
        <v>328</v>
      </c>
      <c r="C89" s="230">
        <f t="shared" ref="C89:D89" si="33">SUM(C90)</f>
        <v>0</v>
      </c>
      <c r="D89" s="230">
        <f t="shared" si="33"/>
        <v>0</v>
      </c>
      <c r="E89" s="230">
        <f>SUM(E90)</f>
        <v>283</v>
      </c>
      <c r="F89" s="230">
        <f t="shared" ref="F89:H89" si="34">SUM(F90)</f>
        <v>1026.0999999999999</v>
      </c>
      <c r="G89" s="230">
        <f t="shared" si="34"/>
        <v>1697</v>
      </c>
      <c r="H89" s="230">
        <f t="shared" si="34"/>
        <v>1697</v>
      </c>
      <c r="I89" s="230">
        <v>1546.3000000000002</v>
      </c>
      <c r="J89" s="223">
        <f>'1.Фінансовий результат'!J92</f>
        <v>3809.2000000000003</v>
      </c>
      <c r="K89" s="230">
        <f>SUM(K90)</f>
        <v>524.5</v>
      </c>
      <c r="L89" s="230">
        <f t="shared" ref="L89:N89" si="35">SUM(L90)</f>
        <v>878.9</v>
      </c>
      <c r="M89" s="230">
        <f t="shared" si="35"/>
        <v>914.2</v>
      </c>
      <c r="N89" s="352">
        <f t="shared" si="35"/>
        <v>906.9</v>
      </c>
      <c r="O89" s="359">
        <f t="shared" si="26"/>
        <v>2262.9</v>
      </c>
      <c r="P89" s="361"/>
      <c r="Q89" s="259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  <c r="AK89" s="254"/>
      <c r="AL89" s="254"/>
      <c r="AM89" s="254"/>
    </row>
    <row r="90" spans="1:39" s="231" customFormat="1">
      <c r="A90" s="232" t="s">
        <v>336</v>
      </c>
      <c r="B90" s="229" t="s">
        <v>335</v>
      </c>
      <c r="C90" s="200"/>
      <c r="D90" s="230"/>
      <c r="E90" s="230">
        <f>'[38]1.Фінансовий результат'!D90</f>
        <v>283</v>
      </c>
      <c r="F90" s="230">
        <f>'[39]1.Фінансовий результат'!D92</f>
        <v>1026.0999999999999</v>
      </c>
      <c r="G90" s="223">
        <f>'[40]1.Фінансовий результат'!H93</f>
        <v>1697</v>
      </c>
      <c r="H90" s="223">
        <f t="shared" ref="H90:H93" si="36">G90</f>
        <v>1697</v>
      </c>
      <c r="I90" s="223">
        <v>1546.3000000000002</v>
      </c>
      <c r="J90" s="223">
        <f>'1.Фінансовий результат'!J93</f>
        <v>3809.2000000000003</v>
      </c>
      <c r="K90" s="230">
        <f>'[51]Фінпідтримка 2 стар + 10 нов'!$N$69</f>
        <v>524.5</v>
      </c>
      <c r="L90" s="230">
        <f>'[51]Фінпідтримка 2 стар + 10 нов'!$Q$69</f>
        <v>878.9</v>
      </c>
      <c r="M90" s="230">
        <f>'[51]Фінпідтримка 2 стар + 10 нов'!$T$69</f>
        <v>914.2</v>
      </c>
      <c r="N90" s="352">
        <f>'[51]Фінпідтримка 2 стар + 10 нов'!$W$69</f>
        <v>906.9</v>
      </c>
      <c r="O90" s="359">
        <f t="shared" si="26"/>
        <v>2262.9</v>
      </c>
      <c r="P90" s="362" t="s">
        <v>390</v>
      </c>
      <c r="Q90" s="259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  <c r="AI90" s="254"/>
      <c r="AJ90" s="254"/>
      <c r="AK90" s="254"/>
      <c r="AL90" s="254"/>
      <c r="AM90" s="254"/>
    </row>
    <row r="91" spans="1:39" s="231" customFormat="1" ht="30">
      <c r="A91" s="232" t="s">
        <v>332</v>
      </c>
      <c r="B91" s="229" t="s">
        <v>329</v>
      </c>
      <c r="C91" s="200"/>
      <c r="D91" s="230">
        <f>D88</f>
        <v>340.40000000000003</v>
      </c>
      <c r="E91" s="230">
        <f>'[38]1.Фінансовий результат'!D94</f>
        <v>477.2</v>
      </c>
      <c r="F91" s="230">
        <f>'[39]1.Фінансовий результат'!D96</f>
        <v>730.3</v>
      </c>
      <c r="G91" s="223">
        <f>'[40]1.Фінансовий результат'!H95</f>
        <v>870.69999999999993</v>
      </c>
      <c r="H91" s="223">
        <f t="shared" si="36"/>
        <v>870.69999999999993</v>
      </c>
      <c r="I91" s="223">
        <v>1046.7</v>
      </c>
      <c r="J91" s="223">
        <f>'1.Фінансовий результат'!J94</f>
        <v>1451.3000000000002</v>
      </c>
      <c r="K91" s="230">
        <f>'[51]Фінпідтримка 2 стар + 10 нов'!$N$68</f>
        <v>296.5</v>
      </c>
      <c r="L91" s="230">
        <f>'[51]Фінпідтримка 2 стар + 10 нов'!$Q$68</f>
        <v>375</v>
      </c>
      <c r="M91" s="230">
        <f>'[51]Фінпідтримка 2 стар + 10 нов'!$T$68</f>
        <v>388.2</v>
      </c>
      <c r="N91" s="352">
        <f>'[51]Фінпідтримка 2 стар + 10 нов'!$W$68</f>
        <v>391.5</v>
      </c>
      <c r="O91" s="359">
        <f t="shared" si="26"/>
        <v>404.60000000000014</v>
      </c>
      <c r="P91" s="362" t="s">
        <v>390</v>
      </c>
      <c r="Q91" s="259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4"/>
      <c r="AH91" s="254"/>
      <c r="AI91" s="254"/>
      <c r="AJ91" s="254"/>
      <c r="AK91" s="254"/>
      <c r="AL91" s="254"/>
      <c r="AM91" s="254"/>
    </row>
    <row r="92" spans="1:39" s="231" customFormat="1" hidden="1" outlineLevel="1">
      <c r="A92" s="232" t="s">
        <v>333</v>
      </c>
      <c r="B92" s="229" t="s">
        <v>341</v>
      </c>
      <c r="C92" s="200"/>
      <c r="D92" s="230"/>
      <c r="E92" s="230">
        <f>'[38]1.Фінансовий результат'!D95</f>
        <v>178.5</v>
      </c>
      <c r="F92" s="230"/>
      <c r="G92" s="223">
        <f>'[40]1.Фінансовий результат'!H96</f>
        <v>0</v>
      </c>
      <c r="H92" s="223">
        <f t="shared" si="36"/>
        <v>0</v>
      </c>
      <c r="I92" s="223">
        <v>0</v>
      </c>
      <c r="J92" s="223">
        <f>'1.Фінансовий результат'!J95</f>
        <v>0</v>
      </c>
      <c r="K92" s="230"/>
      <c r="L92" s="230"/>
      <c r="M92" s="230"/>
      <c r="N92" s="352"/>
      <c r="O92" s="359">
        <f t="shared" si="26"/>
        <v>0</v>
      </c>
      <c r="P92" s="361"/>
      <c r="Q92" s="259"/>
      <c r="R92" s="254"/>
      <c r="S92" s="254"/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4"/>
      <c r="AH92" s="254"/>
      <c r="AI92" s="254"/>
      <c r="AJ92" s="254"/>
      <c r="AK92" s="254"/>
      <c r="AL92" s="254"/>
      <c r="AM92" s="254"/>
    </row>
    <row r="93" spans="1:39" s="231" customFormat="1" ht="30" collapsed="1">
      <c r="A93" s="232" t="s">
        <v>350</v>
      </c>
      <c r="B93" s="229" t="s">
        <v>330</v>
      </c>
      <c r="C93" s="200"/>
      <c r="D93" s="230"/>
      <c r="E93" s="230"/>
      <c r="F93" s="230">
        <f>'[39]1.Фінансовий результат'!D99</f>
        <v>4050</v>
      </c>
      <c r="G93" s="223">
        <f>'[40]1.Фінансовий результат'!H97</f>
        <v>5400</v>
      </c>
      <c r="H93" s="223">
        <f t="shared" si="36"/>
        <v>5400</v>
      </c>
      <c r="I93" s="223">
        <v>6484.7999999999993</v>
      </c>
      <c r="J93" s="223">
        <f>'1.Фінансовий результат'!J96</f>
        <v>5405.2999999999993</v>
      </c>
      <c r="K93" s="219">
        <f>'[42]ПР МЗО'!$H$18*3</f>
        <v>1621.1999999999998</v>
      </c>
      <c r="L93" s="219">
        <f>K93</f>
        <v>1621.1999999999998</v>
      </c>
      <c r="M93" s="219">
        <f>L93</f>
        <v>1621.1999999999998</v>
      </c>
      <c r="N93" s="346">
        <f>M93</f>
        <v>1621.1999999999998</v>
      </c>
      <c r="O93" s="359">
        <f t="shared" si="26"/>
        <v>-1079.5</v>
      </c>
      <c r="P93" s="362" t="s">
        <v>387</v>
      </c>
      <c r="Q93" s="259"/>
      <c r="R93" s="254"/>
      <c r="S93" s="254"/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  <c r="AI93" s="254"/>
      <c r="AJ93" s="254"/>
      <c r="AK93" s="254"/>
      <c r="AL93" s="254"/>
      <c r="AM93" s="254"/>
    </row>
    <row r="94" spans="1:39" s="231" customFormat="1" ht="30">
      <c r="A94" s="232" t="s">
        <v>365</v>
      </c>
      <c r="B94" s="229" t="s">
        <v>341</v>
      </c>
      <c r="C94" s="200"/>
      <c r="D94" s="230"/>
      <c r="E94" s="230">
        <f>'[38]1.Фінансовий результат'!D97</f>
        <v>0</v>
      </c>
      <c r="F94" s="230"/>
      <c r="G94" s="223">
        <f>'[40]1.Фінансовий результат'!H98</f>
        <v>0</v>
      </c>
      <c r="H94" s="223">
        <f t="shared" ref="H94" si="37">G94</f>
        <v>0</v>
      </c>
      <c r="I94" s="223">
        <v>1444.3999999999999</v>
      </c>
      <c r="J94" s="223">
        <f>'1.Фінансовий результат'!J97</f>
        <v>1444.3999999999999</v>
      </c>
      <c r="K94" s="230">
        <f>[42]Фінпідтримка!$M$71</f>
        <v>354.5</v>
      </c>
      <c r="L94" s="230">
        <f>[42]Фінпідтримка!$P$71</f>
        <v>354.5</v>
      </c>
      <c r="M94" s="230">
        <f>[42]Фінпідтримка!$S$71</f>
        <v>366.1</v>
      </c>
      <c r="N94" s="352">
        <f>[42]Фінпідтримка!$V$71</f>
        <v>369.3</v>
      </c>
      <c r="O94" s="359">
        <f t="shared" ref="O94" si="38">J94-I94</f>
        <v>0</v>
      </c>
      <c r="P94" s="361"/>
      <c r="Q94" s="259"/>
      <c r="R94" s="254"/>
      <c r="S94" s="254"/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  <c r="AI94" s="254"/>
      <c r="AJ94" s="254"/>
      <c r="AK94" s="254"/>
      <c r="AL94" s="254"/>
      <c r="AM94" s="254"/>
    </row>
    <row r="95" spans="1:39" s="174" customFormat="1" ht="20.100000000000001" hidden="1" customHeight="1" outlineLevel="1">
      <c r="A95" s="335" t="s">
        <v>93</v>
      </c>
      <c r="B95" s="173">
        <v>1150</v>
      </c>
      <c r="C95" s="159"/>
      <c r="D95" s="204">
        <f>'[37]1.Фінансовий результат'!D89</f>
        <v>0</v>
      </c>
      <c r="E95" s="360"/>
      <c r="F95" s="360">
        <f>'[39]1.Фінансовий результат'!D100</f>
        <v>0</v>
      </c>
      <c r="G95" s="360"/>
      <c r="H95" s="360"/>
      <c r="I95" s="360">
        <v>0</v>
      </c>
      <c r="J95" s="204">
        <f>'1.Фінансовий результат'!J98</f>
        <v>0</v>
      </c>
      <c r="K95" s="204"/>
      <c r="L95" s="204"/>
      <c r="M95" s="204"/>
      <c r="N95" s="341"/>
      <c r="O95" s="357">
        <f t="shared" si="26"/>
        <v>0</v>
      </c>
      <c r="P95" s="361"/>
      <c r="Q95" s="249"/>
      <c r="R95" s="254"/>
      <c r="S95" s="254"/>
      <c r="T95" s="254"/>
      <c r="U95" s="254"/>
      <c r="V95" s="254"/>
      <c r="W95" s="254"/>
      <c r="X95" s="254"/>
      <c r="Y95" s="254"/>
      <c r="Z95" s="254"/>
      <c r="AA95" s="254"/>
      <c r="AB95" s="254"/>
      <c r="AC95" s="254"/>
      <c r="AD95" s="254"/>
      <c r="AE95" s="254"/>
      <c r="AF95" s="254"/>
      <c r="AG95" s="254"/>
      <c r="AH95" s="254"/>
      <c r="AI95" s="254"/>
      <c r="AJ95" s="254"/>
      <c r="AK95" s="254"/>
      <c r="AL95" s="254"/>
      <c r="AM95" s="254"/>
    </row>
    <row r="96" spans="1:39" s="174" customFormat="1" ht="37.5" hidden="1" outlineLevel="1">
      <c r="A96" s="335" t="s">
        <v>176</v>
      </c>
      <c r="B96" s="173">
        <v>1160</v>
      </c>
      <c r="C96" s="161">
        <f>SUM(C97:C98)</f>
        <v>407.8</v>
      </c>
      <c r="D96" s="168">
        <f>SUM(D97:D98)</f>
        <v>613.00000000000011</v>
      </c>
      <c r="E96" s="168">
        <f t="shared" ref="E96:N96" si="39">SUM(E97:E98)</f>
        <v>122.1</v>
      </c>
      <c r="F96" s="168">
        <f t="shared" si="39"/>
        <v>427.3</v>
      </c>
      <c r="G96" s="168">
        <f t="shared" si="39"/>
        <v>214.3</v>
      </c>
      <c r="H96" s="168">
        <f t="shared" si="39"/>
        <v>295.10000000000002</v>
      </c>
      <c r="I96" s="168">
        <v>300.29999999999995</v>
      </c>
      <c r="J96" s="204">
        <f>'1.Фінансовий результат'!J99</f>
        <v>300.29999999999995</v>
      </c>
      <c r="K96" s="168">
        <f t="shared" si="39"/>
        <v>75</v>
      </c>
      <c r="L96" s="168">
        <f t="shared" si="39"/>
        <v>75</v>
      </c>
      <c r="M96" s="168">
        <f t="shared" si="39"/>
        <v>75.099999999999994</v>
      </c>
      <c r="N96" s="345">
        <f t="shared" si="39"/>
        <v>75.199999999999989</v>
      </c>
      <c r="O96" s="357">
        <f t="shared" si="26"/>
        <v>0</v>
      </c>
      <c r="P96" s="361"/>
      <c r="Q96" s="249"/>
      <c r="R96" s="254"/>
      <c r="S96" s="254"/>
      <c r="T96" s="254"/>
      <c r="U96" s="254"/>
      <c r="V96" s="254"/>
      <c r="W96" s="254"/>
      <c r="X96" s="254"/>
      <c r="Y96" s="254"/>
      <c r="Z96" s="254"/>
      <c r="AA96" s="254"/>
      <c r="AB96" s="254"/>
      <c r="AC96" s="254"/>
      <c r="AD96" s="254"/>
      <c r="AE96" s="254"/>
      <c r="AF96" s="254"/>
      <c r="AG96" s="254"/>
      <c r="AH96" s="254"/>
      <c r="AI96" s="254"/>
      <c r="AJ96" s="254"/>
      <c r="AK96" s="254"/>
      <c r="AL96" s="254"/>
      <c r="AM96" s="254"/>
    </row>
    <row r="97" spans="1:39" s="220" customFormat="1" hidden="1" outlineLevel="1">
      <c r="A97" s="233" t="s">
        <v>297</v>
      </c>
      <c r="B97" s="218">
        <v>1</v>
      </c>
      <c r="C97" s="164">
        <f>'[36]Факт 2015'!$V$20</f>
        <v>407.8</v>
      </c>
      <c r="D97" s="223">
        <f>'[37]1.Фінансовий результат'!D91</f>
        <v>584.90000000000009</v>
      </c>
      <c r="E97" s="223">
        <f>'[38]1.Фінансовий результат'!D99</f>
        <v>15.5</v>
      </c>
      <c r="F97" s="223">
        <f>'[39]1.Фінансовий результат'!D102</f>
        <v>427.3</v>
      </c>
      <c r="G97" s="223">
        <f>'[40]1.Фінансовий результат'!H100</f>
        <v>214.3</v>
      </c>
      <c r="H97" s="223">
        <f>G97+80.8</f>
        <v>295.10000000000002</v>
      </c>
      <c r="I97" s="223">
        <v>300.29999999999995</v>
      </c>
      <c r="J97" s="166">
        <f>'1.Фінансовий результат'!J100</f>
        <v>300.29999999999995</v>
      </c>
      <c r="K97" s="219">
        <f>54+21</f>
        <v>75</v>
      </c>
      <c r="L97" s="219">
        <f>K97</f>
        <v>75</v>
      </c>
      <c r="M97" s="219">
        <f>L97+0.1</f>
        <v>75.099999999999994</v>
      </c>
      <c r="N97" s="346">
        <f>M97+0.1</f>
        <v>75.199999999999989</v>
      </c>
      <c r="O97" s="118">
        <f t="shared" si="26"/>
        <v>0</v>
      </c>
      <c r="P97" s="361"/>
      <c r="Q97" s="256"/>
      <c r="R97" s="254"/>
      <c r="S97" s="254"/>
      <c r="T97" s="254"/>
      <c r="U97" s="254"/>
      <c r="V97" s="254"/>
      <c r="W97" s="254"/>
      <c r="X97" s="254"/>
      <c r="Y97" s="254"/>
      <c r="Z97" s="254"/>
      <c r="AA97" s="254"/>
      <c r="AB97" s="254"/>
      <c r="AC97" s="254"/>
      <c r="AD97" s="254"/>
      <c r="AE97" s="254"/>
      <c r="AF97" s="254"/>
      <c r="AG97" s="254"/>
      <c r="AH97" s="254"/>
      <c r="AI97" s="254"/>
      <c r="AJ97" s="254"/>
      <c r="AK97" s="254"/>
      <c r="AL97" s="254"/>
      <c r="AM97" s="254"/>
    </row>
    <row r="98" spans="1:39" s="220" customFormat="1" hidden="1" outlineLevel="1">
      <c r="A98" s="290" t="s">
        <v>321</v>
      </c>
      <c r="B98" s="291">
        <v>2</v>
      </c>
      <c r="C98" s="292"/>
      <c r="D98" s="293">
        <f>'[37]1.Фінансовий результат'!D92</f>
        <v>28.1</v>
      </c>
      <c r="E98" s="293">
        <f>'[38]1.Фінансовий результат'!D100</f>
        <v>106.6</v>
      </c>
      <c r="F98" s="223">
        <f>'[39]1.Фінансовий результат'!D103</f>
        <v>0</v>
      </c>
      <c r="G98" s="223">
        <f>'[40]1.Фінансовий результат'!H101</f>
        <v>0</v>
      </c>
      <c r="H98" s="223">
        <f t="shared" ref="H98" si="40">G98</f>
        <v>0</v>
      </c>
      <c r="I98" s="293">
        <v>0</v>
      </c>
      <c r="J98" s="166">
        <f>'1.Фінансовий результат'!J101</f>
        <v>0</v>
      </c>
      <c r="K98" s="294"/>
      <c r="L98" s="294"/>
      <c r="M98" s="294"/>
      <c r="N98" s="353"/>
      <c r="O98" s="118">
        <f t="shared" si="26"/>
        <v>0</v>
      </c>
      <c r="P98" s="361"/>
      <c r="Q98" s="256"/>
      <c r="R98" s="254"/>
      <c r="S98" s="254"/>
      <c r="T98" s="254"/>
      <c r="U98" s="254"/>
      <c r="V98" s="254"/>
      <c r="W98" s="254"/>
      <c r="X98" s="254"/>
      <c r="Y98" s="254"/>
      <c r="Z98" s="254"/>
      <c r="AA98" s="254"/>
      <c r="AB98" s="254"/>
      <c r="AC98" s="254"/>
      <c r="AD98" s="254"/>
      <c r="AE98" s="254"/>
      <c r="AF98" s="254"/>
      <c r="AG98" s="254"/>
      <c r="AH98" s="254"/>
      <c r="AI98" s="254"/>
      <c r="AJ98" s="254"/>
      <c r="AK98" s="254"/>
      <c r="AL98" s="254"/>
      <c r="AM98" s="254"/>
    </row>
    <row r="99" spans="1:39" s="220" customFormat="1" hidden="1" outlineLevel="1">
      <c r="A99" s="308"/>
      <c r="B99" s="308"/>
      <c r="C99" s="308"/>
      <c r="D99" s="308"/>
      <c r="E99" s="308"/>
      <c r="F99" s="308"/>
      <c r="G99" s="308"/>
      <c r="H99" s="308"/>
      <c r="I99" s="308"/>
      <c r="J99" s="166">
        <f>'1.Фінансовий результат'!J102</f>
        <v>0</v>
      </c>
      <c r="K99" s="324"/>
      <c r="L99" s="324"/>
      <c r="M99" s="324"/>
      <c r="N99" s="323" t="s">
        <v>361</v>
      </c>
      <c r="O99" s="118">
        <f t="shared" si="26"/>
        <v>0</v>
      </c>
      <c r="P99" s="361"/>
      <c r="Q99" s="256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254"/>
      <c r="AD99" s="254"/>
      <c r="AE99" s="254"/>
      <c r="AF99" s="254"/>
      <c r="AG99" s="254"/>
      <c r="AH99" s="254"/>
      <c r="AI99" s="254"/>
      <c r="AJ99" s="254"/>
      <c r="AK99" s="254"/>
      <c r="AL99" s="254"/>
      <c r="AM99" s="254"/>
    </row>
    <row r="100" spans="1:39" s="174" customFormat="1" ht="37.5" hidden="1" outlineLevel="1">
      <c r="A100" s="295" t="s">
        <v>177</v>
      </c>
      <c r="B100" s="296">
        <v>1170</v>
      </c>
      <c r="C100" s="297">
        <f>SUM(C101:C102)</f>
        <v>5.9</v>
      </c>
      <c r="D100" s="298">
        <f>SUM(D101:D102)</f>
        <v>131.29999999999998</v>
      </c>
      <c r="E100" s="298">
        <f t="shared" ref="E100:N100" si="41">SUM(E101:E102)</f>
        <v>284.10000000000002</v>
      </c>
      <c r="F100" s="298">
        <f t="shared" si="41"/>
        <v>212</v>
      </c>
      <c r="G100" s="298">
        <f t="shared" si="41"/>
        <v>223.2</v>
      </c>
      <c r="H100" s="298">
        <f t="shared" si="41"/>
        <v>223.2</v>
      </c>
      <c r="I100" s="298">
        <v>294.70000000000005</v>
      </c>
      <c r="J100" s="204">
        <f>'1.Фінансовий результат'!J103</f>
        <v>294.70000000000005</v>
      </c>
      <c r="K100" s="298">
        <f t="shared" si="41"/>
        <v>73.7</v>
      </c>
      <c r="L100" s="298">
        <f t="shared" si="41"/>
        <v>73.7</v>
      </c>
      <c r="M100" s="298">
        <f t="shared" si="41"/>
        <v>73.7</v>
      </c>
      <c r="N100" s="354">
        <f t="shared" si="41"/>
        <v>73.600000000000009</v>
      </c>
      <c r="O100" s="357">
        <f t="shared" si="26"/>
        <v>0</v>
      </c>
      <c r="P100" s="361"/>
      <c r="Q100" s="249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254"/>
      <c r="AD100" s="254"/>
      <c r="AE100" s="254"/>
      <c r="AF100" s="254"/>
      <c r="AG100" s="254"/>
      <c r="AH100" s="254"/>
      <c r="AI100" s="254"/>
      <c r="AJ100" s="254"/>
      <c r="AK100" s="254"/>
      <c r="AL100" s="254"/>
      <c r="AM100" s="254"/>
    </row>
    <row r="101" spans="1:39" s="220" customFormat="1" ht="19.5" hidden="1" customHeight="1" outlineLevel="1">
      <c r="A101" s="217" t="s">
        <v>309</v>
      </c>
      <c r="B101" s="218">
        <v>1</v>
      </c>
      <c r="C101" s="162">
        <f>'[36]Факт 2015'!$V$80</f>
        <v>5.9</v>
      </c>
      <c r="D101" s="223">
        <f>'[37]1.Фінансовий результат'!D94</f>
        <v>6.1</v>
      </c>
      <c r="E101" s="223">
        <f>'[38]1.Фінансовий результат'!D102</f>
        <v>6</v>
      </c>
      <c r="F101" s="223">
        <f>'[39]1.Фінансовий результат'!D105</f>
        <v>0</v>
      </c>
      <c r="G101" s="223">
        <f>'[40]1.Фінансовий результат'!H104</f>
        <v>0</v>
      </c>
      <c r="H101" s="223">
        <f t="shared" ref="H101:H102" si="42">G101</f>
        <v>0</v>
      </c>
      <c r="I101" s="223">
        <v>0</v>
      </c>
      <c r="J101" s="166">
        <f>'1.Фінансовий результат'!J104</f>
        <v>0</v>
      </c>
      <c r="K101" s="219"/>
      <c r="L101" s="219"/>
      <c r="M101" s="219"/>
      <c r="N101" s="346"/>
      <c r="O101" s="118">
        <f t="shared" si="26"/>
        <v>0</v>
      </c>
      <c r="P101" s="361"/>
      <c r="Q101" s="256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254"/>
      <c r="AD101" s="254"/>
      <c r="AE101" s="254"/>
      <c r="AF101" s="254"/>
      <c r="AG101" s="254"/>
      <c r="AH101" s="254"/>
      <c r="AI101" s="254"/>
      <c r="AJ101" s="254"/>
      <c r="AK101" s="254"/>
      <c r="AL101" s="254"/>
      <c r="AM101" s="254"/>
    </row>
    <row r="102" spans="1:39" s="220" customFormat="1" ht="19.5" hidden="1" customHeight="1" outlineLevel="1">
      <c r="A102" s="233" t="s">
        <v>322</v>
      </c>
      <c r="B102" s="218">
        <v>2</v>
      </c>
      <c r="C102" s="162"/>
      <c r="D102" s="223">
        <f>'[37]1.Фінансовий результат'!D95</f>
        <v>125.19999999999999</v>
      </c>
      <c r="E102" s="223">
        <f>'[38]1.Фінансовий результат'!D103</f>
        <v>278.10000000000002</v>
      </c>
      <c r="F102" s="223">
        <f>'[39]1.Фінансовий результат'!D106</f>
        <v>212</v>
      </c>
      <c r="G102" s="223">
        <f>'[40]1.Фінансовий результат'!H105</f>
        <v>223.2</v>
      </c>
      <c r="H102" s="223">
        <f t="shared" si="42"/>
        <v>223.2</v>
      </c>
      <c r="I102" s="223">
        <v>294.70000000000005</v>
      </c>
      <c r="J102" s="166">
        <f>'1.Фінансовий результат'!J105</f>
        <v>294.70000000000005</v>
      </c>
      <c r="K102" s="219">
        <f>'[42]ФОП 01.01.2020рез'!$Z$36</f>
        <v>73.7</v>
      </c>
      <c r="L102" s="219">
        <f>K102</f>
        <v>73.7</v>
      </c>
      <c r="M102" s="219">
        <f>L102</f>
        <v>73.7</v>
      </c>
      <c r="N102" s="346">
        <f>M102-0.1</f>
        <v>73.600000000000009</v>
      </c>
      <c r="O102" s="118">
        <f t="shared" si="26"/>
        <v>0</v>
      </c>
      <c r="P102" s="361"/>
      <c r="Q102" s="256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54"/>
      <c r="AH102" s="254"/>
      <c r="AI102" s="254"/>
      <c r="AJ102" s="254"/>
      <c r="AK102" s="254"/>
      <c r="AL102" s="254"/>
      <c r="AM102" s="254"/>
    </row>
    <row r="103" spans="1:39" s="106" customFormat="1" ht="43.5" customHeight="1" collapsed="1">
      <c r="A103" s="104" t="s">
        <v>258</v>
      </c>
      <c r="B103" s="105">
        <v>1200</v>
      </c>
      <c r="C103" s="153">
        <f t="shared" ref="C103:H103" si="43">C86+C87+C96-C95-C100</f>
        <v>-142.50000000000065</v>
      </c>
      <c r="D103" s="124">
        <f t="shared" si="43"/>
        <v>-775.89999999999907</v>
      </c>
      <c r="E103" s="124">
        <f t="shared" si="43"/>
        <v>-407.30000000000291</v>
      </c>
      <c r="F103" s="124">
        <f t="shared" si="43"/>
        <v>21.600000000001103</v>
      </c>
      <c r="G103" s="124">
        <f t="shared" si="43"/>
        <v>0.29999999999984084</v>
      </c>
      <c r="H103" s="124">
        <f t="shared" si="43"/>
        <v>81.099999999999852</v>
      </c>
      <c r="I103" s="124">
        <v>84.600000000001728</v>
      </c>
      <c r="J103" s="124">
        <f>'1.Фінансовий результат'!J106</f>
        <v>84.599999999999909</v>
      </c>
      <c r="K103" s="124" t="e">
        <f>K86+K87+K96-K95-K100</f>
        <v>#REF!</v>
      </c>
      <c r="L103" s="124" t="e">
        <f>L86+L87+L96-L95-L100</f>
        <v>#REF!</v>
      </c>
      <c r="M103" s="124" t="e">
        <f>M86+M87+M96-M95-M100</f>
        <v>#REF!</v>
      </c>
      <c r="N103" s="124" t="e">
        <f>N86+N87+N96-N95-N100</f>
        <v>#REF!</v>
      </c>
      <c r="O103" s="358">
        <f t="shared" si="26"/>
        <v>-1.8189894035458565E-12</v>
      </c>
      <c r="P103" s="363"/>
      <c r="Q103" s="249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F103" s="254"/>
      <c r="AG103" s="254"/>
      <c r="AH103" s="254"/>
      <c r="AI103" s="254"/>
      <c r="AJ103" s="254"/>
      <c r="AK103" s="254"/>
      <c r="AL103" s="254"/>
      <c r="AM103" s="254"/>
    </row>
    <row r="104" spans="1:39" ht="20.100000000000001" customHeight="1">
      <c r="A104" s="8" t="s">
        <v>117</v>
      </c>
      <c r="B104" s="9">
        <v>1210</v>
      </c>
      <c r="C104" s="154"/>
      <c r="D104" s="166">
        <f>'[37]1.Фінансовий результат'!D97</f>
        <v>4.4000000000000004</v>
      </c>
      <c r="E104" s="166"/>
      <c r="F104" s="223">
        <f>'[39]1.Фінансовий результат'!D108</f>
        <v>3.3</v>
      </c>
      <c r="G104" s="223">
        <f>'[40]1.Фінансовий результат'!H107</f>
        <v>0</v>
      </c>
      <c r="H104" s="223">
        <f>ROUND(H103*15%,1)</f>
        <v>12.2</v>
      </c>
      <c r="I104" s="223">
        <v>12.7</v>
      </c>
      <c r="J104" s="223">
        <f>'1.Фінансовий результат'!J107</f>
        <v>12.7</v>
      </c>
      <c r="K104" s="13"/>
      <c r="L104" s="13"/>
      <c r="M104" s="13"/>
      <c r="N104" s="355"/>
      <c r="O104" s="118">
        <f t="shared" si="26"/>
        <v>0</v>
      </c>
      <c r="P104" s="361"/>
      <c r="Q104" s="249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F104" s="254"/>
      <c r="AG104" s="254"/>
      <c r="AH104" s="254"/>
      <c r="AI104" s="254"/>
      <c r="AJ104" s="254"/>
      <c r="AK104" s="254"/>
      <c r="AL104" s="254"/>
      <c r="AM104" s="254"/>
    </row>
    <row r="105" spans="1:39" ht="37.5" hidden="1" outlineLevel="1">
      <c r="A105" s="8" t="s">
        <v>118</v>
      </c>
      <c r="B105" s="9">
        <v>1220</v>
      </c>
      <c r="C105" s="154"/>
      <c r="D105" s="166">
        <f>'[37]1.Фінансовий результат'!D98</f>
        <v>0</v>
      </c>
      <c r="E105" s="166"/>
      <c r="F105" s="223">
        <f>'[39]1.Фінансовий результат'!D109</f>
        <v>0</v>
      </c>
      <c r="G105" s="223">
        <f>'[40]1.Фінансовий результат'!H108</f>
        <v>0</v>
      </c>
      <c r="H105" s="223">
        <f t="shared" ref="H105" si="44">G105</f>
        <v>0</v>
      </c>
      <c r="I105" s="223">
        <v>0</v>
      </c>
      <c r="J105" s="166">
        <f>'1.Фінансовий результат'!J108</f>
        <v>0</v>
      </c>
      <c r="K105" s="13"/>
      <c r="L105" s="13"/>
      <c r="M105" s="13"/>
      <c r="N105" s="355"/>
      <c r="O105" s="118">
        <f t="shared" si="26"/>
        <v>0</v>
      </c>
      <c r="P105" s="361"/>
      <c r="Q105" s="249"/>
      <c r="R105" s="254"/>
      <c r="S105" s="254"/>
      <c r="T105" s="254"/>
      <c r="U105" s="254"/>
      <c r="V105" s="254"/>
      <c r="W105" s="254"/>
      <c r="X105" s="254"/>
      <c r="Y105" s="254"/>
      <c r="Z105" s="254"/>
      <c r="AA105" s="254"/>
      <c r="AB105" s="254"/>
      <c r="AC105" s="254"/>
      <c r="AD105" s="254"/>
      <c r="AE105" s="254"/>
      <c r="AF105" s="254"/>
      <c r="AG105" s="254"/>
      <c r="AH105" s="254"/>
      <c r="AI105" s="254"/>
      <c r="AJ105" s="254"/>
      <c r="AK105" s="254"/>
      <c r="AL105" s="254"/>
      <c r="AM105" s="254"/>
    </row>
    <row r="106" spans="1:39" s="106" customFormat="1" ht="43.5" customHeight="1" collapsed="1">
      <c r="A106" s="104" t="s">
        <v>260</v>
      </c>
      <c r="B106" s="105">
        <v>1230</v>
      </c>
      <c r="C106" s="153">
        <f t="shared" ref="C106:N106" si="45">C103-C104</f>
        <v>-142.50000000000065</v>
      </c>
      <c r="D106" s="124">
        <f t="shared" si="45"/>
        <v>-780.29999999999905</v>
      </c>
      <c r="E106" s="124">
        <f t="shared" si="45"/>
        <v>-407.30000000000291</v>
      </c>
      <c r="F106" s="124">
        <f t="shared" si="45"/>
        <v>18.300000000001102</v>
      </c>
      <c r="G106" s="124">
        <f t="shared" si="45"/>
        <v>0.29999999999984084</v>
      </c>
      <c r="H106" s="124">
        <f t="shared" si="45"/>
        <v>68.899999999999849</v>
      </c>
      <c r="I106" s="124">
        <v>71.900000000001725</v>
      </c>
      <c r="J106" s="124">
        <f>'1.Фінансовий результат'!J109</f>
        <v>71.899999999999906</v>
      </c>
      <c r="K106" s="124" t="e">
        <f t="shared" si="45"/>
        <v>#REF!</v>
      </c>
      <c r="L106" s="124" t="e">
        <f t="shared" si="45"/>
        <v>#REF!</v>
      </c>
      <c r="M106" s="124" t="e">
        <f t="shared" si="45"/>
        <v>#REF!</v>
      </c>
      <c r="N106" s="124" t="e">
        <f t="shared" si="45"/>
        <v>#REF!</v>
      </c>
      <c r="O106" s="358">
        <f t="shared" si="26"/>
        <v>-1.8189894035458565E-12</v>
      </c>
      <c r="P106" s="363"/>
      <c r="Q106" s="249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4"/>
      <c r="AD106" s="254"/>
      <c r="AE106" s="254"/>
      <c r="AF106" s="254"/>
      <c r="AG106" s="254"/>
      <c r="AH106" s="254"/>
      <c r="AI106" s="254"/>
      <c r="AJ106" s="254"/>
      <c r="AK106" s="254"/>
      <c r="AL106" s="254"/>
      <c r="AM106" s="254"/>
    </row>
    <row r="107" spans="1:39" s="175" customFormat="1" ht="20.100000000000001" customHeight="1">
      <c r="A107" s="420" t="s">
        <v>211</v>
      </c>
      <c r="B107" s="420"/>
      <c r="C107" s="420"/>
      <c r="D107" s="420"/>
      <c r="E107" s="420"/>
      <c r="F107" s="420"/>
      <c r="G107" s="420"/>
      <c r="H107" s="420"/>
      <c r="I107" s="420"/>
      <c r="J107" s="420"/>
      <c r="K107" s="420"/>
      <c r="L107" s="420"/>
      <c r="M107" s="420"/>
      <c r="N107" s="509"/>
      <c r="O107" s="118">
        <f t="shared" si="26"/>
        <v>0</v>
      </c>
      <c r="P107" s="361"/>
      <c r="Q107" s="249"/>
      <c r="R107" s="254"/>
      <c r="S107" s="254"/>
      <c r="T107" s="254"/>
      <c r="U107" s="254"/>
      <c r="V107" s="254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54"/>
      <c r="AI107" s="254"/>
      <c r="AJ107" s="254"/>
      <c r="AK107" s="254"/>
      <c r="AL107" s="254"/>
      <c r="AM107" s="254"/>
    </row>
    <row r="108" spans="1:39" s="174" customFormat="1" ht="20.100000000000001" customHeight="1">
      <c r="A108" s="180" t="s">
        <v>7</v>
      </c>
      <c r="B108" s="215">
        <v>1240</v>
      </c>
      <c r="C108" s="166">
        <f t="shared" ref="C108:H108" si="46">C15+C28+C87+C96</f>
        <v>4646.3999999999996</v>
      </c>
      <c r="D108" s="166">
        <f t="shared" si="46"/>
        <v>8859.3000000000011</v>
      </c>
      <c r="E108" s="166">
        <f t="shared" si="46"/>
        <v>12452.300000000001</v>
      </c>
      <c r="F108" s="166">
        <f t="shared" si="46"/>
        <v>17831.499999999996</v>
      </c>
      <c r="G108" s="166">
        <f t="shared" si="46"/>
        <v>23113.8</v>
      </c>
      <c r="H108" s="166">
        <f t="shared" si="46"/>
        <v>23194.6</v>
      </c>
      <c r="I108" s="166">
        <v>32326.899999999998</v>
      </c>
      <c r="J108" s="166">
        <f>'1.Фінансовий результат'!J111</f>
        <v>33179.316666666666</v>
      </c>
      <c r="K108" s="166" t="e">
        <f>K15+K28+K87+K96</f>
        <v>#REF!</v>
      </c>
      <c r="L108" s="166" t="e">
        <f>L15+L28+L87+L96</f>
        <v>#REF!</v>
      </c>
      <c r="M108" s="166" t="e">
        <f>M15+M28+M87+M96</f>
        <v>#REF!</v>
      </c>
      <c r="N108" s="342" t="e">
        <f>N15+N28+N87+N96</f>
        <v>#REF!</v>
      </c>
      <c r="O108" s="118">
        <f t="shared" si="26"/>
        <v>852.41666666666788</v>
      </c>
      <c r="P108" s="361"/>
      <c r="Q108" s="249"/>
      <c r="R108" s="254"/>
      <c r="S108" s="254"/>
      <c r="T108" s="254"/>
      <c r="U108" s="254"/>
      <c r="V108" s="254"/>
      <c r="W108" s="254"/>
      <c r="X108" s="254"/>
      <c r="Y108" s="254"/>
      <c r="Z108" s="254"/>
      <c r="AA108" s="254"/>
      <c r="AB108" s="254"/>
      <c r="AC108" s="254"/>
      <c r="AD108" s="254"/>
      <c r="AE108" s="254"/>
      <c r="AF108" s="254"/>
      <c r="AG108" s="254"/>
      <c r="AH108" s="254"/>
      <c r="AI108" s="254"/>
      <c r="AJ108" s="254"/>
      <c r="AK108" s="254"/>
      <c r="AL108" s="254"/>
      <c r="AM108" s="254"/>
    </row>
    <row r="109" spans="1:39" s="174" customFormat="1" ht="20.100000000000001" customHeight="1">
      <c r="A109" s="180" t="s">
        <v>97</v>
      </c>
      <c r="B109" s="215">
        <v>1250</v>
      </c>
      <c r="C109" s="166">
        <f t="shared" ref="C109:H109" si="47">C16+C32+C71+C78+C95+C100+C104</f>
        <v>4788.8999999999996</v>
      </c>
      <c r="D109" s="166">
        <f t="shared" si="47"/>
        <v>9639.5999999999985</v>
      </c>
      <c r="E109" s="166">
        <f t="shared" si="47"/>
        <v>12859.600000000002</v>
      </c>
      <c r="F109" s="166">
        <f t="shared" si="47"/>
        <v>17813.2</v>
      </c>
      <c r="G109" s="166">
        <f t="shared" si="47"/>
        <v>23113.500000000004</v>
      </c>
      <c r="H109" s="166">
        <f t="shared" si="47"/>
        <v>23125.700000000004</v>
      </c>
      <c r="I109" s="166">
        <v>32255</v>
      </c>
      <c r="J109" s="166">
        <f>'1.Фінансовий результат'!J112</f>
        <v>33107.416666666657</v>
      </c>
      <c r="K109" s="166">
        <f>K16+K32+K71+K78+K95+K100+K104</f>
        <v>9261.9</v>
      </c>
      <c r="L109" s="166">
        <f>L16+L32+L71+L78+L95+L100+L104</f>
        <v>7953.5999999999995</v>
      </c>
      <c r="M109" s="166">
        <f>M16+M32+M71+M78+M95+M100+M104</f>
        <v>7664.2</v>
      </c>
      <c r="N109" s="342">
        <f>N16+N32+N71+N78+N95+N100+N104</f>
        <v>9955.2000000000007</v>
      </c>
      <c r="O109" s="118">
        <f t="shared" si="26"/>
        <v>852.41666666665697</v>
      </c>
      <c r="P109" s="361"/>
      <c r="Q109" s="249"/>
      <c r="R109" s="254"/>
      <c r="S109" s="254"/>
      <c r="T109" s="254"/>
      <c r="U109" s="254"/>
      <c r="V109" s="254"/>
      <c r="W109" s="254"/>
      <c r="X109" s="254"/>
      <c r="Y109" s="254"/>
      <c r="Z109" s="254"/>
      <c r="AA109" s="254"/>
      <c r="AB109" s="254"/>
      <c r="AC109" s="254"/>
      <c r="AD109" s="254"/>
      <c r="AE109" s="254"/>
      <c r="AF109" s="254"/>
      <c r="AG109" s="254"/>
      <c r="AH109" s="254"/>
      <c r="AI109" s="254"/>
      <c r="AJ109" s="254"/>
      <c r="AK109" s="254"/>
      <c r="AL109" s="254"/>
      <c r="AM109" s="254"/>
    </row>
    <row r="110" spans="1:39" s="174" customFormat="1" ht="18.75" customHeight="1">
      <c r="A110" s="420" t="s">
        <v>184</v>
      </c>
      <c r="B110" s="420"/>
      <c r="C110" s="420"/>
      <c r="D110" s="420"/>
      <c r="E110" s="420"/>
      <c r="F110" s="420"/>
      <c r="G110" s="420"/>
      <c r="H110" s="420"/>
      <c r="I110" s="420"/>
      <c r="J110" s="420"/>
      <c r="K110" s="420"/>
      <c r="L110" s="420"/>
      <c r="M110" s="420"/>
      <c r="N110" s="509"/>
      <c r="O110" s="118">
        <f t="shared" si="26"/>
        <v>0</v>
      </c>
      <c r="P110" s="361"/>
      <c r="Q110" s="249"/>
      <c r="R110" s="254"/>
      <c r="S110" s="254"/>
      <c r="T110" s="254"/>
      <c r="U110" s="254"/>
      <c r="V110" s="254"/>
      <c r="W110" s="254"/>
      <c r="X110" s="254"/>
      <c r="Y110" s="254"/>
      <c r="Z110" s="254"/>
      <c r="AA110" s="254"/>
      <c r="AB110" s="254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4"/>
    </row>
    <row r="111" spans="1:39" s="174" customFormat="1" ht="18.75" customHeight="1">
      <c r="A111" s="180" t="s">
        <v>212</v>
      </c>
      <c r="B111" s="234">
        <v>1260</v>
      </c>
      <c r="C111" s="167">
        <f t="shared" ref="C111:N111" si="48">C112+C113</f>
        <v>2461.5</v>
      </c>
      <c r="D111" s="167">
        <f>D112+D113</f>
        <v>5610.5000000000009</v>
      </c>
      <c r="E111" s="167">
        <f>E112+E113</f>
        <v>8363.9</v>
      </c>
      <c r="F111" s="167">
        <f>F112+F113</f>
        <v>8542.6</v>
      </c>
      <c r="G111" s="167">
        <f>G112+G113</f>
        <v>10950.2</v>
      </c>
      <c r="H111" s="167">
        <f>H112+H113</f>
        <v>10950.2</v>
      </c>
      <c r="I111" s="167">
        <v>16582.5</v>
      </c>
      <c r="J111" s="166">
        <f>'1.Фінансовий результат'!J114</f>
        <v>16417.5</v>
      </c>
      <c r="K111" s="167">
        <f t="shared" si="48"/>
        <v>5191.7999999999993</v>
      </c>
      <c r="L111" s="167">
        <f t="shared" si="48"/>
        <v>3342.6000000000004</v>
      </c>
      <c r="M111" s="167">
        <f t="shared" si="48"/>
        <v>2923.7000000000003</v>
      </c>
      <c r="N111" s="356">
        <f t="shared" si="48"/>
        <v>5124.3999999999996</v>
      </c>
      <c r="O111" s="118">
        <f t="shared" si="26"/>
        <v>-165</v>
      </c>
      <c r="P111" s="361"/>
      <c r="Q111" s="249"/>
      <c r="R111" s="254"/>
      <c r="S111" s="254"/>
      <c r="T111" s="254"/>
      <c r="U111" s="254"/>
      <c r="V111" s="254"/>
      <c r="W111" s="254"/>
      <c r="X111" s="254"/>
      <c r="Y111" s="254"/>
      <c r="Z111" s="254"/>
      <c r="AA111" s="254"/>
      <c r="AB111" s="254"/>
      <c r="AC111" s="254"/>
      <c r="AD111" s="254"/>
      <c r="AE111" s="254"/>
      <c r="AF111" s="254"/>
      <c r="AG111" s="254"/>
      <c r="AH111" s="254"/>
      <c r="AI111" s="254"/>
      <c r="AJ111" s="254"/>
      <c r="AK111" s="254"/>
      <c r="AL111" s="254"/>
      <c r="AM111" s="254"/>
    </row>
    <row r="112" spans="1:39" s="174" customFormat="1" ht="18.75" customHeight="1">
      <c r="A112" s="180" t="s">
        <v>210</v>
      </c>
      <c r="B112" s="234">
        <v>1261</v>
      </c>
      <c r="C112" s="167">
        <f t="shared" ref="C112:H112" si="49">C17+C22</f>
        <v>11.500000000000009</v>
      </c>
      <c r="D112" s="167">
        <f t="shared" si="49"/>
        <v>799.1</v>
      </c>
      <c r="E112" s="167">
        <f t="shared" si="49"/>
        <v>139.39999999999998</v>
      </c>
      <c r="F112" s="167">
        <f t="shared" si="49"/>
        <v>47.8</v>
      </c>
      <c r="G112" s="167">
        <f t="shared" si="49"/>
        <v>215.6</v>
      </c>
      <c r="H112" s="167">
        <f t="shared" si="49"/>
        <v>215.6</v>
      </c>
      <c r="I112" s="167">
        <v>387.59999999999997</v>
      </c>
      <c r="J112" s="166">
        <f>'1.Фінансовий результат'!J115</f>
        <v>222.6</v>
      </c>
      <c r="K112" s="167">
        <f>K17+K22</f>
        <v>96.899999999999991</v>
      </c>
      <c r="L112" s="167">
        <f>L17+L22</f>
        <v>96.899999999999991</v>
      </c>
      <c r="M112" s="167">
        <f>M17+M22</f>
        <v>96.899999999999991</v>
      </c>
      <c r="N112" s="356">
        <f>N17+N22</f>
        <v>96.899999999999991</v>
      </c>
      <c r="O112" s="118">
        <f t="shared" si="26"/>
        <v>-164.99999999999997</v>
      </c>
      <c r="P112" s="361"/>
      <c r="Q112" s="249"/>
      <c r="R112" s="254"/>
      <c r="S112" s="254"/>
      <c r="T112" s="254"/>
      <c r="U112" s="254"/>
      <c r="V112" s="254"/>
      <c r="W112" s="254"/>
      <c r="X112" s="254"/>
      <c r="Y112" s="254"/>
      <c r="Z112" s="254"/>
      <c r="AA112" s="254"/>
      <c r="AB112" s="254"/>
      <c r="AC112" s="254"/>
      <c r="AD112" s="254"/>
      <c r="AE112" s="254"/>
      <c r="AF112" s="254"/>
      <c r="AG112" s="254"/>
      <c r="AH112" s="254"/>
      <c r="AI112" s="254"/>
      <c r="AJ112" s="254"/>
      <c r="AK112" s="254"/>
      <c r="AL112" s="254"/>
      <c r="AM112" s="254"/>
    </row>
    <row r="113" spans="1:39" s="174" customFormat="1" ht="18.75" customHeight="1">
      <c r="A113" s="180" t="s">
        <v>13</v>
      </c>
      <c r="B113" s="234">
        <v>1262</v>
      </c>
      <c r="C113" s="167">
        <f t="shared" ref="C113:H113" si="50">C18+C19+C60</f>
        <v>2450</v>
      </c>
      <c r="D113" s="167">
        <f t="shared" si="50"/>
        <v>4811.4000000000005</v>
      </c>
      <c r="E113" s="167">
        <f t="shared" si="50"/>
        <v>8224.5</v>
      </c>
      <c r="F113" s="167">
        <f t="shared" si="50"/>
        <v>8494.8000000000011</v>
      </c>
      <c r="G113" s="167">
        <f t="shared" si="50"/>
        <v>10734.6</v>
      </c>
      <c r="H113" s="167">
        <f t="shared" si="50"/>
        <v>10734.6</v>
      </c>
      <c r="I113" s="167">
        <v>16194.900000000001</v>
      </c>
      <c r="J113" s="166">
        <f>'1.Фінансовий результат'!J116</f>
        <v>16194.900000000001</v>
      </c>
      <c r="K113" s="167">
        <f>K18+K19+K60</f>
        <v>5094.8999999999996</v>
      </c>
      <c r="L113" s="167">
        <f>L18+L19+L60</f>
        <v>3245.7000000000003</v>
      </c>
      <c r="M113" s="167">
        <f>M18+M19+M60</f>
        <v>2826.8</v>
      </c>
      <c r="N113" s="356">
        <f>N18+N19+N60</f>
        <v>5027.5</v>
      </c>
      <c r="O113" s="118">
        <f t="shared" si="26"/>
        <v>0</v>
      </c>
      <c r="P113" s="361"/>
      <c r="Q113" s="249"/>
      <c r="R113" s="254"/>
      <c r="S113" s="254"/>
      <c r="T113" s="254"/>
      <c r="U113" s="254"/>
      <c r="V113" s="254"/>
      <c r="W113" s="254"/>
      <c r="X113" s="254"/>
      <c r="Y113" s="254"/>
      <c r="Z113" s="254"/>
      <c r="AA113" s="254"/>
      <c r="AB113" s="254"/>
      <c r="AC113" s="254"/>
      <c r="AD113" s="254"/>
      <c r="AE113" s="254"/>
      <c r="AF113" s="254"/>
      <c r="AG113" s="254"/>
      <c r="AH113" s="254"/>
      <c r="AI113" s="254"/>
      <c r="AJ113" s="254"/>
      <c r="AK113" s="254"/>
      <c r="AL113" s="254"/>
      <c r="AM113" s="254"/>
    </row>
    <row r="114" spans="1:39" s="174" customFormat="1" ht="18.75" customHeight="1">
      <c r="A114" s="180" t="s">
        <v>3</v>
      </c>
      <c r="B114" s="234">
        <v>1270</v>
      </c>
      <c r="C114" s="167">
        <f t="shared" ref="C114:H115" si="51">C20+C40</f>
        <v>904</v>
      </c>
      <c r="D114" s="167">
        <f t="shared" si="51"/>
        <v>1216.5</v>
      </c>
      <c r="E114" s="167">
        <f t="shared" si="51"/>
        <v>1566.1</v>
      </c>
      <c r="F114" s="167">
        <f t="shared" si="51"/>
        <v>1992.5</v>
      </c>
      <c r="G114" s="167">
        <f t="shared" si="51"/>
        <v>2418.2000000000003</v>
      </c>
      <c r="H114" s="167">
        <f t="shared" si="51"/>
        <v>2418.2000000000003</v>
      </c>
      <c r="I114" s="167">
        <v>3536.1</v>
      </c>
      <c r="J114" s="166">
        <f>'1.Фінансовий результат'!J117</f>
        <v>5994.8</v>
      </c>
      <c r="K114" s="167">
        <f t="shared" ref="K114:N115" si="52">K20+K40</f>
        <v>1066.9000000000001</v>
      </c>
      <c r="L114" s="167">
        <f t="shared" si="52"/>
        <v>1482.1</v>
      </c>
      <c r="M114" s="167">
        <f t="shared" si="52"/>
        <v>1521.6999999999998</v>
      </c>
      <c r="N114" s="356">
        <f t="shared" si="52"/>
        <v>1533.4</v>
      </c>
      <c r="O114" s="118">
        <f t="shared" si="26"/>
        <v>2458.7000000000003</v>
      </c>
      <c r="P114" s="361"/>
      <c r="Q114" s="249"/>
      <c r="R114" s="254"/>
      <c r="S114" s="254"/>
      <c r="T114" s="254"/>
      <c r="U114" s="254"/>
      <c r="V114" s="254"/>
      <c r="W114" s="254"/>
      <c r="X114" s="254"/>
      <c r="Y114" s="254"/>
      <c r="Z114" s="254"/>
      <c r="AA114" s="254"/>
      <c r="AB114" s="254"/>
      <c r="AC114" s="254"/>
      <c r="AD114" s="254"/>
      <c r="AE114" s="254"/>
      <c r="AF114" s="254"/>
      <c r="AG114" s="254"/>
      <c r="AH114" s="254"/>
      <c r="AI114" s="254"/>
      <c r="AJ114" s="254"/>
      <c r="AK114" s="254"/>
      <c r="AL114" s="254"/>
      <c r="AM114" s="254"/>
    </row>
    <row r="115" spans="1:39" s="174" customFormat="1" ht="18.75" customHeight="1">
      <c r="A115" s="180" t="s">
        <v>4</v>
      </c>
      <c r="B115" s="234">
        <v>1280</v>
      </c>
      <c r="C115" s="167">
        <f t="shared" si="51"/>
        <v>280.89999999999998</v>
      </c>
      <c r="D115" s="167">
        <f t="shared" si="51"/>
        <v>237.20000000000002</v>
      </c>
      <c r="E115" s="167">
        <f t="shared" si="51"/>
        <v>308.89999999999998</v>
      </c>
      <c r="F115" s="167">
        <f t="shared" si="51"/>
        <v>373.7</v>
      </c>
      <c r="G115" s="167">
        <f t="shared" si="51"/>
        <v>532.1</v>
      </c>
      <c r="H115" s="167">
        <f t="shared" si="51"/>
        <v>532.1</v>
      </c>
      <c r="I115" s="167">
        <v>778.2</v>
      </c>
      <c r="J115" s="166">
        <f>'1.Фінансовий результат'!J118</f>
        <v>1247.6999999999998</v>
      </c>
      <c r="K115" s="167">
        <f t="shared" si="52"/>
        <v>235</v>
      </c>
      <c r="L115" s="167">
        <f t="shared" si="52"/>
        <v>326.2</v>
      </c>
      <c r="M115" s="167">
        <f t="shared" si="52"/>
        <v>334.8</v>
      </c>
      <c r="N115" s="356">
        <f t="shared" si="52"/>
        <v>337.2</v>
      </c>
      <c r="O115" s="118">
        <f t="shared" si="26"/>
        <v>469.49999999999977</v>
      </c>
      <c r="P115" s="361"/>
      <c r="Q115" s="249"/>
      <c r="R115" s="254"/>
      <c r="S115" s="254"/>
      <c r="T115" s="254"/>
      <c r="U115" s="254"/>
      <c r="V115" s="254"/>
      <c r="W115" s="254"/>
      <c r="X115" s="254"/>
      <c r="Y115" s="254"/>
      <c r="Z115" s="254"/>
      <c r="AA115" s="254"/>
      <c r="AB115" s="254"/>
      <c r="AC115" s="254"/>
      <c r="AD115" s="254"/>
      <c r="AE115" s="254"/>
      <c r="AF115" s="254"/>
      <c r="AG115" s="254"/>
      <c r="AH115" s="254"/>
      <c r="AI115" s="254"/>
      <c r="AJ115" s="254"/>
      <c r="AK115" s="254"/>
      <c r="AL115" s="254"/>
      <c r="AM115" s="254"/>
    </row>
    <row r="116" spans="1:39" s="174" customFormat="1" ht="18.75" customHeight="1">
      <c r="A116" s="180" t="s">
        <v>5</v>
      </c>
      <c r="B116" s="234">
        <v>1290</v>
      </c>
      <c r="C116" s="167">
        <f t="shared" ref="C116:H116" si="53">C23+C42+C84</f>
        <v>777.6</v>
      </c>
      <c r="D116" s="167">
        <f t="shared" si="53"/>
        <v>2074.5000000000005</v>
      </c>
      <c r="E116" s="167">
        <f t="shared" si="53"/>
        <v>2104.5</v>
      </c>
      <c r="F116" s="167">
        <f t="shared" si="53"/>
        <v>2561.7999999999997</v>
      </c>
      <c r="G116" s="167">
        <f t="shared" si="53"/>
        <v>3243.5</v>
      </c>
      <c r="H116" s="167">
        <f t="shared" si="53"/>
        <v>3243.5</v>
      </c>
      <c r="I116" s="167">
        <v>4284.2</v>
      </c>
      <c r="J116" s="166">
        <f>'1.Фінансовий результат'!J119</f>
        <v>4284.2</v>
      </c>
      <c r="K116" s="167">
        <f>K23+K42+K84</f>
        <v>974.4</v>
      </c>
      <c r="L116" s="167">
        <f>L23+L42+L84</f>
        <v>1022.9</v>
      </c>
      <c r="M116" s="167">
        <f>M23+M42+M84</f>
        <v>1104.9000000000001</v>
      </c>
      <c r="N116" s="356">
        <f>N23+N42+N84</f>
        <v>1182</v>
      </c>
      <c r="O116" s="118">
        <f t="shared" si="26"/>
        <v>0</v>
      </c>
      <c r="P116" s="361"/>
      <c r="Q116" s="249"/>
      <c r="R116" s="254"/>
      <c r="S116" s="254"/>
      <c r="T116" s="254"/>
      <c r="U116" s="254"/>
      <c r="V116" s="254"/>
      <c r="W116" s="254"/>
      <c r="X116" s="254"/>
      <c r="Y116" s="254"/>
      <c r="Z116" s="254"/>
      <c r="AA116" s="254"/>
      <c r="AB116" s="254"/>
      <c r="AC116" s="254"/>
      <c r="AD116" s="254"/>
      <c r="AE116" s="254"/>
      <c r="AF116" s="254"/>
      <c r="AG116" s="254"/>
      <c r="AH116" s="254"/>
      <c r="AI116" s="254"/>
      <c r="AJ116" s="254"/>
      <c r="AK116" s="254"/>
      <c r="AL116" s="254"/>
      <c r="AM116" s="254"/>
    </row>
    <row r="117" spans="1:39" s="174" customFormat="1" ht="18.75" customHeight="1">
      <c r="A117" s="180" t="s">
        <v>14</v>
      </c>
      <c r="B117" s="234">
        <v>1300</v>
      </c>
      <c r="C117" s="167">
        <f t="shared" ref="C117:H117" si="54">C24+SUM(C43:C55)+C37+C39+C78-C60+C100-C84</f>
        <v>364.90000000000009</v>
      </c>
      <c r="D117" s="167">
        <f t="shared" si="54"/>
        <v>496.5</v>
      </c>
      <c r="E117" s="167">
        <f t="shared" si="54"/>
        <v>516.20000000000027</v>
      </c>
      <c r="F117" s="167">
        <f t="shared" si="54"/>
        <v>4339.2999999999993</v>
      </c>
      <c r="G117" s="167">
        <f t="shared" si="54"/>
        <v>5969.5</v>
      </c>
      <c r="H117" s="167">
        <f t="shared" si="54"/>
        <v>5969.5</v>
      </c>
      <c r="I117" s="167">
        <v>7061.2999999999993</v>
      </c>
      <c r="J117" s="166">
        <f>'1.Фінансовий результат'!J120</f>
        <v>5150.5166666666655</v>
      </c>
      <c r="K117" s="167">
        <f>K24+SUM(K43:K55)+K37+K39+K78-K60+K100-K84</f>
        <v>1793.7999999999997</v>
      </c>
      <c r="L117" s="167">
        <f>L24+SUM(L43:L55)+L37+L39+L78-L60+L100-L84</f>
        <v>1779.7999999999997</v>
      </c>
      <c r="M117" s="167">
        <f>M24+SUM(M43:M55)+M37+M39+M78-M60+M100-M84</f>
        <v>1779.1</v>
      </c>
      <c r="N117" s="356">
        <f>N24+SUM(N43:N55)+N37+N39+N78-N60+N100-N84</f>
        <v>1778.1999999999998</v>
      </c>
      <c r="O117" s="118">
        <f t="shared" si="26"/>
        <v>-1910.7833333333338</v>
      </c>
      <c r="P117" s="361"/>
      <c r="Q117" s="249"/>
      <c r="R117" s="254"/>
      <c r="S117" s="254"/>
      <c r="T117" s="254"/>
      <c r="U117" s="254"/>
      <c r="V117" s="254"/>
      <c r="W117" s="254"/>
      <c r="X117" s="254"/>
      <c r="Y117" s="254"/>
      <c r="Z117" s="254"/>
      <c r="AA117" s="254"/>
      <c r="AB117" s="254"/>
      <c r="AC117" s="254"/>
      <c r="AD117" s="254"/>
      <c r="AE117" s="254"/>
      <c r="AF117" s="254"/>
      <c r="AG117" s="254"/>
      <c r="AH117" s="254"/>
      <c r="AI117" s="254"/>
      <c r="AJ117" s="254"/>
      <c r="AK117" s="254"/>
      <c r="AL117" s="254"/>
      <c r="AM117" s="254"/>
    </row>
    <row r="118" spans="1:39" s="175" customFormat="1" ht="18.75" customHeight="1">
      <c r="A118" s="335" t="s">
        <v>43</v>
      </c>
      <c r="B118" s="235">
        <v>1310</v>
      </c>
      <c r="C118" s="168">
        <f t="shared" ref="C118:N118" si="55">C111+C114+C115+C116+C117</f>
        <v>4788.8999999999996</v>
      </c>
      <c r="D118" s="168">
        <f>D111+D114+D115+D116+D117</f>
        <v>9635.2000000000007</v>
      </c>
      <c r="E118" s="168">
        <f>E111+E114+E115+E116+E117</f>
        <v>12859.6</v>
      </c>
      <c r="F118" s="168">
        <f>F111+F114+F115+F116+F117</f>
        <v>17809.900000000001</v>
      </c>
      <c r="G118" s="168">
        <f>G111+G114+G115+G116+G117</f>
        <v>23113.5</v>
      </c>
      <c r="H118" s="168">
        <f>H111+H114+H115+H116+H117</f>
        <v>23113.5</v>
      </c>
      <c r="I118" s="168">
        <v>32242.299999999996</v>
      </c>
      <c r="J118" s="204">
        <f>'1.Фінансовий результат'!J121</f>
        <v>33094.71666666666</v>
      </c>
      <c r="K118" s="168">
        <f t="shared" si="55"/>
        <v>9261.8999999999978</v>
      </c>
      <c r="L118" s="168">
        <f t="shared" si="55"/>
        <v>7953.6</v>
      </c>
      <c r="M118" s="168">
        <f t="shared" si="55"/>
        <v>7664.2000000000007</v>
      </c>
      <c r="N118" s="345">
        <f t="shared" si="55"/>
        <v>9955.1999999999989</v>
      </c>
      <c r="O118" s="357">
        <f t="shared" si="26"/>
        <v>852.41666666666424</v>
      </c>
      <c r="P118" s="361"/>
      <c r="Q118" s="249"/>
      <c r="R118" s="254"/>
      <c r="S118" s="254"/>
      <c r="T118" s="254"/>
      <c r="U118" s="254"/>
      <c r="V118" s="254"/>
      <c r="W118" s="254"/>
      <c r="X118" s="254"/>
      <c r="Y118" s="254"/>
      <c r="Z118" s="254"/>
      <c r="AA118" s="254"/>
      <c r="AB118" s="254"/>
      <c r="AC118" s="254"/>
      <c r="AD118" s="254"/>
      <c r="AE118" s="254"/>
      <c r="AF118" s="254"/>
      <c r="AG118" s="254"/>
      <c r="AH118" s="254"/>
      <c r="AI118" s="254"/>
      <c r="AJ118" s="254"/>
      <c r="AK118" s="254"/>
      <c r="AL118" s="254"/>
      <c r="AM118" s="254"/>
    </row>
    <row r="119" spans="1:39" s="175" customFormat="1" ht="18.75" customHeight="1">
      <c r="A119" s="364"/>
      <c r="B119" s="365"/>
      <c r="C119" s="206"/>
      <c r="D119" s="206"/>
      <c r="E119" s="206"/>
      <c r="F119" s="206"/>
      <c r="G119" s="206"/>
      <c r="H119" s="206"/>
      <c r="I119" s="206"/>
      <c r="J119" s="366"/>
      <c r="K119" s="206"/>
      <c r="L119" s="206"/>
      <c r="M119" s="206"/>
      <c r="N119" s="206"/>
      <c r="O119" s="51"/>
      <c r="P119" s="367"/>
      <c r="Q119" s="249"/>
      <c r="R119" s="254"/>
      <c r="S119" s="254"/>
      <c r="T119" s="254"/>
      <c r="U119" s="254"/>
      <c r="V119" s="254"/>
      <c r="W119" s="254"/>
      <c r="X119" s="254"/>
      <c r="Y119" s="254"/>
      <c r="Z119" s="254"/>
      <c r="AA119" s="254"/>
      <c r="AB119" s="254"/>
      <c r="AC119" s="254"/>
      <c r="AD119" s="254"/>
      <c r="AE119" s="254"/>
      <c r="AF119" s="254"/>
      <c r="AG119" s="254"/>
      <c r="AH119" s="254"/>
      <c r="AI119" s="254"/>
      <c r="AJ119" s="254"/>
      <c r="AK119" s="254"/>
      <c r="AL119" s="254"/>
      <c r="AM119" s="254"/>
    </row>
    <row r="120" spans="1:39" ht="24.75" customHeight="1">
      <c r="A120" s="421" t="s">
        <v>304</v>
      </c>
      <c r="B120" s="421"/>
      <c r="C120" s="411" t="s">
        <v>88</v>
      </c>
      <c r="D120" s="411"/>
      <c r="E120" s="411"/>
      <c r="F120" s="411"/>
      <c r="G120" s="411"/>
      <c r="H120" s="411"/>
      <c r="I120" s="411"/>
      <c r="J120" s="412"/>
      <c r="K120" s="15"/>
      <c r="L120" s="414" t="s">
        <v>305</v>
      </c>
      <c r="M120" s="414"/>
      <c r="N120" s="414"/>
      <c r="O120" s="333"/>
      <c r="P120" s="337" t="s">
        <v>376</v>
      </c>
      <c r="R120" s="254"/>
      <c r="S120" s="254"/>
      <c r="T120" s="254"/>
      <c r="U120" s="254"/>
      <c r="V120" s="254"/>
      <c r="W120" s="254"/>
      <c r="X120" s="254"/>
      <c r="Y120" s="254"/>
      <c r="Z120" s="254"/>
      <c r="AA120" s="254"/>
      <c r="AB120" s="254"/>
      <c r="AC120" s="254"/>
      <c r="AD120" s="254"/>
      <c r="AE120" s="254"/>
      <c r="AF120" s="254"/>
      <c r="AG120" s="254"/>
      <c r="AH120" s="254"/>
      <c r="AI120" s="254"/>
      <c r="AJ120" s="254"/>
      <c r="AK120" s="254"/>
      <c r="AL120" s="254"/>
      <c r="AM120" s="254"/>
    </row>
    <row r="121" spans="1:39" s="2" customFormat="1" ht="15.75" customHeight="1">
      <c r="A121" s="336" t="s">
        <v>190</v>
      </c>
      <c r="B121" s="337"/>
      <c r="C121" s="400" t="s">
        <v>306</v>
      </c>
      <c r="D121" s="400"/>
      <c r="E121" s="400"/>
      <c r="F121" s="400"/>
      <c r="G121" s="400"/>
      <c r="H121" s="400"/>
      <c r="I121" s="400"/>
      <c r="J121" s="400"/>
      <c r="K121" s="27"/>
      <c r="L121" s="418" t="s">
        <v>84</v>
      </c>
      <c r="M121" s="418"/>
      <c r="N121" s="418"/>
      <c r="O121" s="333"/>
      <c r="P121" s="337"/>
      <c r="R121" s="254"/>
      <c r="S121" s="254"/>
      <c r="T121" s="254"/>
      <c r="U121" s="254"/>
      <c r="V121" s="254"/>
      <c r="W121" s="254"/>
      <c r="X121" s="254"/>
      <c r="Y121" s="254"/>
      <c r="Z121" s="254"/>
      <c r="AA121" s="254"/>
      <c r="AB121" s="254"/>
      <c r="AC121" s="254"/>
      <c r="AD121" s="254"/>
      <c r="AE121" s="254"/>
      <c r="AF121" s="254"/>
      <c r="AG121" s="254"/>
      <c r="AH121" s="254"/>
      <c r="AI121" s="254"/>
      <c r="AJ121" s="254"/>
      <c r="AK121" s="254"/>
      <c r="AL121" s="254"/>
      <c r="AM121" s="254"/>
    </row>
    <row r="122" spans="1:39" ht="20.100000000000001" customHeight="1">
      <c r="A122" s="28"/>
      <c r="C122" s="170"/>
      <c r="D122" s="170"/>
      <c r="E122" s="170"/>
      <c r="F122" s="170"/>
      <c r="G122" s="170"/>
      <c r="H122" s="170">
        <f>(H114+H115)/(H109-H19)*100</f>
        <v>23.563379044302629</v>
      </c>
      <c r="I122" s="170"/>
      <c r="J122" s="170"/>
      <c r="K122" s="29"/>
      <c r="L122" s="29"/>
      <c r="M122" s="29"/>
      <c r="N122" s="29"/>
      <c r="O122" s="333"/>
      <c r="R122" s="254"/>
      <c r="S122" s="254"/>
      <c r="T122" s="254"/>
      <c r="U122" s="254"/>
      <c r="V122" s="254"/>
      <c r="W122" s="254"/>
      <c r="X122" s="254"/>
      <c r="Y122" s="254"/>
      <c r="Z122" s="254"/>
      <c r="AA122" s="254"/>
      <c r="AB122" s="254"/>
      <c r="AC122" s="254"/>
      <c r="AD122" s="254"/>
      <c r="AE122" s="254"/>
      <c r="AF122" s="254"/>
      <c r="AG122" s="254"/>
      <c r="AH122" s="254"/>
      <c r="AI122" s="254"/>
      <c r="AJ122" s="254"/>
      <c r="AK122" s="254"/>
      <c r="AL122" s="254"/>
      <c r="AM122" s="254"/>
    </row>
    <row r="123" spans="1:39">
      <c r="A123" s="28"/>
      <c r="D123" s="195"/>
      <c r="E123" s="195"/>
      <c r="F123" s="195"/>
      <c r="G123" s="195"/>
      <c r="H123" s="195">
        <f>H113/H109*100</f>
        <v>46.418486791751164</v>
      </c>
      <c r="I123" s="195"/>
      <c r="J123" s="195"/>
      <c r="K123" s="332"/>
      <c r="L123" s="332"/>
      <c r="M123" s="332"/>
      <c r="N123" s="332"/>
      <c r="O123" s="333"/>
      <c r="R123" s="254"/>
      <c r="S123" s="254"/>
      <c r="T123" s="254"/>
      <c r="U123" s="254"/>
      <c r="V123" s="254"/>
      <c r="W123" s="254"/>
      <c r="X123" s="254"/>
      <c r="Y123" s="254"/>
      <c r="Z123" s="254"/>
      <c r="AA123" s="254"/>
      <c r="AB123" s="254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4"/>
    </row>
    <row r="124" spans="1:39">
      <c r="A124" s="28"/>
      <c r="C124" s="170"/>
      <c r="D124" s="170"/>
      <c r="E124" s="170"/>
      <c r="F124" s="170"/>
      <c r="G124" s="170"/>
      <c r="H124" s="170">
        <f>(H88/(H108-H10/1.2))*100</f>
        <v>62.04278580105278</v>
      </c>
      <c r="I124" s="170"/>
      <c r="J124" s="170"/>
      <c r="K124" s="29"/>
      <c r="L124" s="29"/>
      <c r="M124" s="29"/>
      <c r="N124" s="29"/>
      <c r="O124" s="333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</row>
    <row r="125" spans="1:39">
      <c r="A125" s="28"/>
      <c r="C125" s="170"/>
      <c r="D125" s="170"/>
      <c r="E125" s="170"/>
      <c r="F125" s="170"/>
      <c r="G125" s="170"/>
      <c r="H125" s="170"/>
      <c r="I125" s="170"/>
      <c r="J125" s="29"/>
      <c r="K125" s="29"/>
      <c r="L125" s="29"/>
      <c r="M125" s="29"/>
      <c r="N125" s="29"/>
      <c r="O125" s="333"/>
      <c r="R125" s="254"/>
      <c r="S125" s="254"/>
      <c r="T125" s="254"/>
      <c r="U125" s="254"/>
      <c r="V125" s="254"/>
      <c r="W125" s="254"/>
      <c r="X125" s="254"/>
      <c r="Y125" s="254"/>
      <c r="Z125" s="254"/>
      <c r="AA125" s="254"/>
      <c r="AB125" s="254"/>
      <c r="AC125" s="254"/>
      <c r="AD125" s="254"/>
      <c r="AE125" s="254"/>
      <c r="AF125" s="254"/>
      <c r="AG125" s="254"/>
      <c r="AH125" s="254"/>
      <c r="AI125" s="254"/>
      <c r="AJ125" s="254"/>
      <c r="AK125" s="254"/>
      <c r="AL125" s="254"/>
      <c r="AM125" s="254"/>
    </row>
    <row r="126" spans="1:39">
      <c r="A126" s="28"/>
      <c r="C126" s="170"/>
      <c r="D126" s="170"/>
      <c r="E126" s="170"/>
      <c r="F126" s="170"/>
      <c r="G126" s="170"/>
      <c r="H126" s="170"/>
      <c r="I126" s="170"/>
      <c r="J126" s="29"/>
      <c r="K126" s="29"/>
      <c r="L126" s="29"/>
      <c r="M126" s="29"/>
      <c r="N126" s="29"/>
      <c r="O126" s="333"/>
      <c r="R126" s="254"/>
      <c r="S126" s="254"/>
      <c r="T126" s="254"/>
      <c r="U126" s="254"/>
      <c r="V126" s="254"/>
      <c r="W126" s="254"/>
      <c r="X126" s="254"/>
      <c r="Y126" s="254"/>
      <c r="Z126" s="254"/>
      <c r="AA126" s="254"/>
      <c r="AB126" s="254"/>
      <c r="AC126" s="254"/>
      <c r="AD126" s="254"/>
      <c r="AE126" s="254"/>
      <c r="AF126" s="254"/>
      <c r="AG126" s="254"/>
      <c r="AH126" s="254"/>
      <c r="AI126" s="254"/>
      <c r="AJ126" s="254"/>
      <c r="AK126" s="254"/>
      <c r="AL126" s="254"/>
      <c r="AM126" s="254"/>
    </row>
    <row r="127" spans="1:39">
      <c r="A127" s="28"/>
      <c r="C127" s="170"/>
      <c r="D127" s="170"/>
      <c r="E127" s="170"/>
      <c r="F127" s="170"/>
      <c r="G127" s="170"/>
      <c r="H127" s="170"/>
      <c r="I127" s="170"/>
      <c r="J127" s="29"/>
      <c r="K127" s="29"/>
      <c r="L127" s="29"/>
      <c r="M127" s="29"/>
      <c r="N127" s="29"/>
      <c r="O127" s="333"/>
      <c r="R127" s="254"/>
      <c r="S127" s="254"/>
      <c r="T127" s="254"/>
      <c r="U127" s="254"/>
      <c r="V127" s="254"/>
      <c r="W127" s="254"/>
      <c r="X127" s="254"/>
      <c r="Y127" s="254"/>
      <c r="Z127" s="254"/>
      <c r="AA127" s="254"/>
      <c r="AB127" s="254"/>
      <c r="AC127" s="254"/>
      <c r="AD127" s="254"/>
      <c r="AE127" s="254"/>
      <c r="AF127" s="254"/>
      <c r="AG127" s="254"/>
      <c r="AH127" s="254"/>
      <c r="AI127" s="254"/>
      <c r="AJ127" s="254"/>
      <c r="AK127" s="254"/>
      <c r="AL127" s="254"/>
      <c r="AM127" s="254"/>
    </row>
    <row r="128" spans="1:39">
      <c r="A128" s="28"/>
      <c r="C128" s="170"/>
      <c r="D128" s="170"/>
      <c r="E128" s="170"/>
      <c r="F128" s="170"/>
      <c r="G128" s="170"/>
      <c r="H128" s="170"/>
      <c r="I128" s="170"/>
      <c r="J128" s="29"/>
      <c r="K128" s="29"/>
      <c r="L128" s="29"/>
      <c r="M128" s="29"/>
      <c r="N128" s="29"/>
      <c r="O128" s="333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254"/>
      <c r="AD128" s="254"/>
      <c r="AE128" s="254"/>
      <c r="AF128" s="254"/>
      <c r="AG128" s="254"/>
      <c r="AH128" s="254"/>
      <c r="AI128" s="254"/>
      <c r="AJ128" s="254"/>
      <c r="AK128" s="254"/>
      <c r="AL128" s="254"/>
      <c r="AM128" s="254"/>
    </row>
    <row r="129" spans="1:39">
      <c r="A129" s="28"/>
      <c r="C129" s="170"/>
      <c r="D129" s="170"/>
      <c r="E129" s="170"/>
      <c r="F129" s="170"/>
      <c r="G129" s="170"/>
      <c r="H129" s="170"/>
      <c r="I129" s="170"/>
      <c r="J129" s="29"/>
      <c r="K129" s="29"/>
      <c r="L129" s="29"/>
      <c r="M129" s="29"/>
      <c r="N129" s="29"/>
      <c r="O129" s="333"/>
      <c r="R129" s="254"/>
      <c r="S129" s="254"/>
      <c r="T129" s="254"/>
      <c r="U129" s="254"/>
      <c r="V129" s="254"/>
      <c r="W129" s="254"/>
      <c r="X129" s="254"/>
      <c r="Y129" s="254"/>
      <c r="Z129" s="254"/>
      <c r="AA129" s="254"/>
      <c r="AB129" s="254"/>
      <c r="AC129" s="254"/>
      <c r="AD129" s="254"/>
      <c r="AE129" s="254"/>
      <c r="AF129" s="254"/>
      <c r="AG129" s="254"/>
      <c r="AH129" s="254"/>
      <c r="AI129" s="254"/>
      <c r="AJ129" s="254"/>
      <c r="AK129" s="254"/>
      <c r="AL129" s="254"/>
      <c r="AM129" s="254"/>
    </row>
    <row r="130" spans="1:39">
      <c r="A130" s="28"/>
      <c r="C130" s="170"/>
      <c r="D130" s="170"/>
      <c r="E130" s="170"/>
      <c r="F130" s="170"/>
      <c r="G130" s="170"/>
      <c r="H130" s="170"/>
      <c r="I130" s="170"/>
      <c r="J130" s="29"/>
      <c r="K130" s="29"/>
      <c r="L130" s="29"/>
      <c r="M130" s="29"/>
      <c r="N130" s="29"/>
      <c r="O130" s="333"/>
      <c r="R130" s="254"/>
      <c r="S130" s="254"/>
      <c r="T130" s="254"/>
      <c r="U130" s="254"/>
      <c r="V130" s="254"/>
      <c r="W130" s="254"/>
      <c r="X130" s="254"/>
      <c r="Y130" s="254"/>
      <c r="Z130" s="254"/>
      <c r="AA130" s="254"/>
      <c r="AB130" s="254"/>
      <c r="AC130" s="254"/>
      <c r="AD130" s="254"/>
      <c r="AE130" s="254"/>
      <c r="AF130" s="254"/>
      <c r="AG130" s="254"/>
      <c r="AH130" s="254"/>
      <c r="AI130" s="254"/>
      <c r="AJ130" s="254"/>
      <c r="AK130" s="254"/>
      <c r="AL130" s="254"/>
      <c r="AM130" s="254"/>
    </row>
    <row r="131" spans="1:39">
      <c r="A131" s="28"/>
      <c r="C131" s="170"/>
      <c r="D131" s="170"/>
      <c r="E131" s="170"/>
      <c r="F131" s="170"/>
      <c r="G131" s="170"/>
      <c r="H131" s="170"/>
      <c r="I131" s="170"/>
      <c r="J131" s="29"/>
      <c r="K131" s="29"/>
      <c r="L131" s="29"/>
      <c r="M131" s="29"/>
      <c r="N131" s="29"/>
      <c r="O131" s="333"/>
      <c r="R131" s="254"/>
      <c r="S131" s="254"/>
      <c r="T131" s="254"/>
      <c r="U131" s="254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  <c r="AF131" s="254"/>
      <c r="AG131" s="254"/>
      <c r="AH131" s="254"/>
      <c r="AI131" s="254"/>
      <c r="AJ131" s="254"/>
      <c r="AK131" s="254"/>
      <c r="AL131" s="254"/>
      <c r="AM131" s="254"/>
    </row>
    <row r="132" spans="1:39">
      <c r="A132" s="28"/>
      <c r="C132" s="170"/>
      <c r="D132" s="170"/>
      <c r="E132" s="170"/>
      <c r="F132" s="170"/>
      <c r="G132" s="170"/>
      <c r="H132" s="170"/>
      <c r="I132" s="170"/>
      <c r="J132" s="29"/>
      <c r="K132" s="29"/>
      <c r="L132" s="29"/>
      <c r="M132" s="29"/>
      <c r="N132" s="29"/>
      <c r="O132" s="333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/>
      <c r="AF132" s="254"/>
      <c r="AG132" s="254"/>
      <c r="AH132" s="254"/>
      <c r="AI132" s="254"/>
      <c r="AJ132" s="254"/>
      <c r="AK132" s="254"/>
      <c r="AL132" s="254"/>
      <c r="AM132" s="254"/>
    </row>
    <row r="133" spans="1:39">
      <c r="A133" s="28"/>
      <c r="C133" s="170"/>
      <c r="D133" s="170"/>
      <c r="E133" s="170"/>
      <c r="F133" s="170"/>
      <c r="G133" s="170"/>
      <c r="H133" s="170"/>
      <c r="I133" s="170"/>
      <c r="J133" s="29"/>
      <c r="K133" s="29"/>
      <c r="L133" s="29"/>
      <c r="M133" s="29"/>
      <c r="N133" s="29"/>
      <c r="O133" s="333"/>
      <c r="R133" s="254"/>
      <c r="S133" s="254"/>
      <c r="T133" s="254"/>
      <c r="U133" s="254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54"/>
      <c r="AF133" s="254"/>
      <c r="AG133" s="254"/>
      <c r="AH133" s="254"/>
      <c r="AI133" s="254"/>
      <c r="AJ133" s="254"/>
      <c r="AK133" s="254"/>
      <c r="AL133" s="254"/>
      <c r="AM133" s="254"/>
    </row>
    <row r="134" spans="1:39">
      <c r="A134" s="28"/>
      <c r="C134" s="170"/>
      <c r="D134" s="170"/>
      <c r="E134" s="170"/>
      <c r="F134" s="170"/>
      <c r="G134" s="170"/>
      <c r="H134" s="170"/>
      <c r="I134" s="170"/>
      <c r="J134" s="29"/>
      <c r="K134" s="29"/>
      <c r="L134" s="29"/>
      <c r="M134" s="29"/>
      <c r="N134" s="29"/>
      <c r="O134" s="333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4"/>
      <c r="AL134" s="254"/>
      <c r="AM134" s="254"/>
    </row>
    <row r="135" spans="1:39">
      <c r="A135" s="28"/>
      <c r="C135" s="170"/>
      <c r="D135" s="170"/>
      <c r="E135" s="170"/>
      <c r="F135" s="170"/>
      <c r="G135" s="170"/>
      <c r="H135" s="170"/>
      <c r="I135" s="170"/>
      <c r="J135" s="29"/>
      <c r="K135" s="29"/>
      <c r="L135" s="29"/>
      <c r="M135" s="29"/>
      <c r="N135" s="29"/>
      <c r="O135" s="333"/>
      <c r="R135" s="254"/>
      <c r="S135" s="254"/>
      <c r="T135" s="254"/>
      <c r="U135" s="254"/>
      <c r="V135" s="254"/>
      <c r="W135" s="254"/>
      <c r="X135" s="254"/>
      <c r="Y135" s="254"/>
      <c r="Z135" s="254"/>
      <c r="AA135" s="254"/>
      <c r="AB135" s="254"/>
      <c r="AC135" s="254"/>
      <c r="AD135" s="254"/>
      <c r="AE135" s="254"/>
      <c r="AF135" s="254"/>
      <c r="AG135" s="254"/>
      <c r="AH135" s="254"/>
      <c r="AI135" s="254"/>
      <c r="AJ135" s="254"/>
      <c r="AK135" s="254"/>
      <c r="AL135" s="254"/>
      <c r="AM135" s="254"/>
    </row>
    <row r="136" spans="1:39">
      <c r="A136" s="28"/>
      <c r="C136" s="170"/>
      <c r="D136" s="170"/>
      <c r="E136" s="170"/>
      <c r="F136" s="170"/>
      <c r="G136" s="170"/>
      <c r="H136" s="170"/>
      <c r="I136" s="170"/>
      <c r="J136" s="29"/>
      <c r="K136" s="29"/>
      <c r="L136" s="29"/>
      <c r="M136" s="29"/>
      <c r="N136" s="29"/>
      <c r="O136" s="333"/>
      <c r="R136" s="254"/>
      <c r="S136" s="254"/>
      <c r="T136" s="254"/>
      <c r="U136" s="254"/>
      <c r="V136" s="254"/>
      <c r="W136" s="254"/>
      <c r="X136" s="254"/>
      <c r="Y136" s="254"/>
      <c r="Z136" s="254"/>
      <c r="AA136" s="254"/>
      <c r="AB136" s="254"/>
      <c r="AC136" s="254"/>
      <c r="AD136" s="254"/>
      <c r="AE136" s="254"/>
      <c r="AF136" s="254"/>
      <c r="AG136" s="254"/>
      <c r="AH136" s="254"/>
      <c r="AI136" s="254"/>
      <c r="AJ136" s="254"/>
      <c r="AK136" s="254"/>
      <c r="AL136" s="254"/>
      <c r="AM136" s="254"/>
    </row>
    <row r="137" spans="1:39">
      <c r="A137" s="28"/>
      <c r="C137" s="170"/>
      <c r="D137" s="170"/>
      <c r="E137" s="170"/>
      <c r="F137" s="170"/>
      <c r="G137" s="170"/>
      <c r="H137" s="170"/>
      <c r="I137" s="170"/>
      <c r="J137" s="29"/>
      <c r="K137" s="29"/>
      <c r="L137" s="29"/>
      <c r="M137" s="29"/>
      <c r="N137" s="29"/>
      <c r="O137" s="333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54"/>
      <c r="AD137" s="254"/>
      <c r="AE137" s="254"/>
      <c r="AF137" s="254"/>
      <c r="AG137" s="254"/>
      <c r="AH137" s="254"/>
      <c r="AI137" s="254"/>
      <c r="AJ137" s="254"/>
      <c r="AK137" s="254"/>
      <c r="AL137" s="254"/>
      <c r="AM137" s="254"/>
    </row>
    <row r="138" spans="1:39">
      <c r="A138" s="28"/>
      <c r="C138" s="170"/>
      <c r="D138" s="170"/>
      <c r="E138" s="170"/>
      <c r="F138" s="170"/>
      <c r="G138" s="170"/>
      <c r="H138" s="170"/>
      <c r="I138" s="170"/>
      <c r="J138" s="29"/>
      <c r="K138" s="29"/>
      <c r="L138" s="29"/>
      <c r="M138" s="29"/>
      <c r="N138" s="29"/>
      <c r="O138" s="333"/>
      <c r="R138" s="254"/>
      <c r="S138" s="254"/>
      <c r="T138" s="254"/>
      <c r="U138" s="254"/>
      <c r="V138" s="254"/>
      <c r="W138" s="254"/>
      <c r="X138" s="254"/>
      <c r="Y138" s="254"/>
      <c r="Z138" s="254"/>
      <c r="AA138" s="254"/>
      <c r="AB138" s="254"/>
      <c r="AC138" s="254"/>
      <c r="AD138" s="254"/>
      <c r="AE138" s="254"/>
      <c r="AF138" s="254"/>
      <c r="AG138" s="254"/>
      <c r="AH138" s="254"/>
      <c r="AI138" s="254"/>
      <c r="AJ138" s="254"/>
      <c r="AK138" s="254"/>
      <c r="AL138" s="254"/>
      <c r="AM138" s="254"/>
    </row>
    <row r="139" spans="1:39">
      <c r="A139" s="28"/>
      <c r="C139" s="170"/>
      <c r="D139" s="170"/>
      <c r="E139" s="170"/>
      <c r="F139" s="170"/>
      <c r="G139" s="170"/>
      <c r="H139" s="170"/>
      <c r="I139" s="170"/>
      <c r="J139" s="29"/>
      <c r="K139" s="29"/>
      <c r="L139" s="29"/>
      <c r="M139" s="29"/>
      <c r="N139" s="29"/>
      <c r="O139" s="333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  <c r="AH139" s="254"/>
      <c r="AI139" s="254"/>
      <c r="AJ139" s="254"/>
      <c r="AK139" s="254"/>
      <c r="AL139" s="254"/>
      <c r="AM139" s="254"/>
    </row>
    <row r="140" spans="1:39">
      <c r="A140" s="28"/>
      <c r="C140" s="170"/>
      <c r="D140" s="170"/>
      <c r="E140" s="170"/>
      <c r="F140" s="170"/>
      <c r="G140" s="170"/>
      <c r="H140" s="170"/>
      <c r="I140" s="170"/>
      <c r="J140" s="29"/>
      <c r="K140" s="29"/>
      <c r="L140" s="29"/>
      <c r="M140" s="29"/>
      <c r="N140" s="29"/>
      <c r="O140" s="333"/>
      <c r="R140" s="254"/>
      <c r="S140" s="254"/>
      <c r="T140" s="254"/>
      <c r="U140" s="254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54"/>
      <c r="AH140" s="254"/>
      <c r="AI140" s="254"/>
      <c r="AJ140" s="254"/>
      <c r="AK140" s="254"/>
      <c r="AL140" s="254"/>
      <c r="AM140" s="254"/>
    </row>
    <row r="141" spans="1:39">
      <c r="A141" s="28"/>
      <c r="C141" s="170"/>
      <c r="D141" s="170"/>
      <c r="E141" s="170"/>
      <c r="F141" s="170"/>
      <c r="G141" s="170"/>
      <c r="H141" s="170"/>
      <c r="I141" s="170"/>
      <c r="J141" s="29"/>
      <c r="K141" s="29"/>
      <c r="L141" s="29"/>
      <c r="M141" s="29"/>
      <c r="N141" s="29"/>
      <c r="O141" s="333"/>
      <c r="R141" s="254"/>
      <c r="S141" s="254"/>
      <c r="T141" s="254"/>
      <c r="U141" s="254"/>
      <c r="V141" s="254"/>
      <c r="W141" s="254"/>
      <c r="X141" s="254"/>
      <c r="Y141" s="254"/>
      <c r="Z141" s="254"/>
      <c r="AA141" s="254"/>
      <c r="AB141" s="254"/>
      <c r="AC141" s="254"/>
      <c r="AD141" s="254"/>
      <c r="AE141" s="254"/>
      <c r="AF141" s="254"/>
      <c r="AG141" s="254"/>
      <c r="AH141" s="254"/>
      <c r="AI141" s="254"/>
      <c r="AJ141" s="254"/>
      <c r="AK141" s="254"/>
      <c r="AL141" s="254"/>
      <c r="AM141" s="254"/>
    </row>
    <row r="142" spans="1:39">
      <c r="A142" s="28"/>
      <c r="C142" s="170"/>
      <c r="D142" s="170"/>
      <c r="E142" s="170"/>
      <c r="F142" s="170"/>
      <c r="G142" s="170"/>
      <c r="H142" s="170"/>
      <c r="I142" s="170"/>
      <c r="J142" s="29"/>
      <c r="K142" s="29"/>
      <c r="L142" s="29"/>
      <c r="M142" s="29"/>
      <c r="N142" s="29"/>
      <c r="O142" s="333"/>
      <c r="R142" s="254"/>
      <c r="S142" s="254"/>
      <c r="T142" s="254"/>
      <c r="U142" s="254"/>
      <c r="V142" s="254"/>
      <c r="W142" s="254"/>
      <c r="X142" s="254"/>
      <c r="Y142" s="254"/>
      <c r="Z142" s="254"/>
      <c r="AA142" s="254"/>
      <c r="AB142" s="254"/>
      <c r="AC142" s="254"/>
      <c r="AD142" s="254"/>
      <c r="AE142" s="254"/>
      <c r="AF142" s="254"/>
      <c r="AG142" s="254"/>
      <c r="AH142" s="254"/>
      <c r="AI142" s="254"/>
      <c r="AJ142" s="254"/>
      <c r="AK142" s="254"/>
      <c r="AL142" s="254"/>
      <c r="AM142" s="254"/>
    </row>
    <row r="143" spans="1:39">
      <c r="A143" s="28"/>
      <c r="C143" s="170"/>
      <c r="D143" s="170"/>
      <c r="E143" s="170"/>
      <c r="F143" s="170"/>
      <c r="G143" s="170"/>
      <c r="H143" s="170"/>
      <c r="I143" s="170"/>
      <c r="J143" s="29"/>
      <c r="K143" s="29"/>
      <c r="L143" s="29"/>
      <c r="M143" s="29"/>
      <c r="N143" s="29"/>
      <c r="O143" s="333"/>
      <c r="R143" s="254"/>
      <c r="S143" s="254"/>
      <c r="T143" s="254"/>
      <c r="U143" s="254"/>
      <c r="V143" s="254"/>
      <c r="W143" s="254"/>
      <c r="X143" s="254"/>
      <c r="Y143" s="254"/>
      <c r="Z143" s="254"/>
      <c r="AA143" s="254"/>
      <c r="AB143" s="254"/>
      <c r="AC143" s="254"/>
      <c r="AD143" s="254"/>
      <c r="AE143" s="254"/>
      <c r="AF143" s="254"/>
      <c r="AG143" s="254"/>
      <c r="AH143" s="254"/>
      <c r="AI143" s="254"/>
      <c r="AJ143" s="254"/>
      <c r="AK143" s="254"/>
      <c r="AL143" s="254"/>
      <c r="AM143" s="254"/>
    </row>
    <row r="144" spans="1:39">
      <c r="A144" s="28"/>
      <c r="C144" s="170"/>
      <c r="D144" s="170"/>
      <c r="E144" s="170"/>
      <c r="F144" s="170"/>
      <c r="G144" s="170"/>
      <c r="H144" s="170"/>
      <c r="I144" s="170"/>
      <c r="J144" s="29"/>
      <c r="K144" s="29"/>
      <c r="L144" s="29"/>
      <c r="M144" s="29"/>
      <c r="N144" s="29"/>
      <c r="O144" s="333"/>
      <c r="R144" s="254"/>
      <c r="S144" s="254"/>
      <c r="T144" s="254"/>
      <c r="U144" s="254"/>
      <c r="V144" s="254"/>
      <c r="W144" s="254"/>
      <c r="X144" s="254"/>
      <c r="Y144" s="254"/>
      <c r="Z144" s="254"/>
      <c r="AA144" s="254"/>
      <c r="AB144" s="254"/>
      <c r="AC144" s="254"/>
      <c r="AD144" s="254"/>
      <c r="AE144" s="254"/>
      <c r="AF144" s="254"/>
      <c r="AG144" s="254"/>
      <c r="AH144" s="254"/>
      <c r="AI144" s="254"/>
      <c r="AJ144" s="254"/>
      <c r="AK144" s="254"/>
      <c r="AL144" s="254"/>
      <c r="AM144" s="254"/>
    </row>
    <row r="145" spans="1:39">
      <c r="A145" s="28"/>
      <c r="C145" s="170"/>
      <c r="D145" s="170"/>
      <c r="E145" s="170"/>
      <c r="F145" s="170"/>
      <c r="G145" s="170"/>
      <c r="H145" s="170"/>
      <c r="I145" s="170"/>
      <c r="J145" s="29"/>
      <c r="K145" s="29"/>
      <c r="L145" s="29"/>
      <c r="M145" s="29"/>
      <c r="N145" s="29"/>
      <c r="O145" s="333"/>
      <c r="R145" s="254"/>
      <c r="S145" s="254"/>
      <c r="T145" s="254"/>
      <c r="U145" s="254"/>
      <c r="V145" s="254"/>
      <c r="W145" s="254"/>
      <c r="X145" s="254"/>
      <c r="Y145" s="254"/>
      <c r="Z145" s="254"/>
      <c r="AA145" s="254"/>
      <c r="AB145" s="254"/>
      <c r="AC145" s="254"/>
      <c r="AD145" s="254"/>
      <c r="AE145" s="254"/>
      <c r="AF145" s="254"/>
      <c r="AG145" s="254"/>
      <c r="AH145" s="254"/>
      <c r="AI145" s="254"/>
      <c r="AJ145" s="254"/>
      <c r="AK145" s="254"/>
      <c r="AL145" s="254"/>
      <c r="AM145" s="254"/>
    </row>
    <row r="146" spans="1:39">
      <c r="A146" s="28"/>
      <c r="C146" s="170"/>
      <c r="D146" s="170"/>
      <c r="E146" s="170"/>
      <c r="F146" s="170"/>
      <c r="G146" s="170"/>
      <c r="H146" s="170"/>
      <c r="I146" s="170"/>
      <c r="J146" s="29"/>
      <c r="K146" s="29"/>
      <c r="L146" s="29"/>
      <c r="M146" s="29"/>
      <c r="N146" s="29"/>
      <c r="O146" s="333"/>
      <c r="R146" s="254"/>
      <c r="S146" s="254"/>
      <c r="T146" s="254"/>
      <c r="U146" s="254"/>
      <c r="V146" s="254"/>
      <c r="W146" s="254"/>
      <c r="X146" s="254"/>
      <c r="Y146" s="254"/>
      <c r="Z146" s="254"/>
      <c r="AA146" s="254"/>
      <c r="AB146" s="254"/>
      <c r="AC146" s="254"/>
      <c r="AD146" s="254"/>
      <c r="AE146" s="254"/>
      <c r="AF146" s="254"/>
      <c r="AG146" s="254"/>
      <c r="AH146" s="254"/>
      <c r="AI146" s="254"/>
      <c r="AJ146" s="254"/>
      <c r="AK146" s="254"/>
      <c r="AL146" s="254"/>
      <c r="AM146" s="254"/>
    </row>
    <row r="147" spans="1:39">
      <c r="A147" s="28"/>
      <c r="C147" s="170"/>
      <c r="D147" s="170"/>
      <c r="E147" s="170"/>
      <c r="F147" s="170"/>
      <c r="G147" s="170"/>
      <c r="H147" s="170"/>
      <c r="I147" s="170"/>
      <c r="J147" s="29"/>
      <c r="K147" s="29"/>
      <c r="L147" s="29"/>
      <c r="M147" s="29"/>
      <c r="N147" s="29"/>
      <c r="O147" s="333"/>
      <c r="R147" s="254"/>
      <c r="S147" s="254"/>
      <c r="T147" s="254"/>
      <c r="U147" s="254"/>
      <c r="V147" s="254"/>
      <c r="W147" s="254"/>
      <c r="X147" s="254"/>
      <c r="Y147" s="254"/>
      <c r="Z147" s="254"/>
      <c r="AA147" s="254"/>
      <c r="AB147" s="254"/>
      <c r="AC147" s="254"/>
      <c r="AD147" s="254"/>
      <c r="AE147" s="254"/>
      <c r="AF147" s="254"/>
      <c r="AG147" s="254"/>
      <c r="AH147" s="254"/>
      <c r="AI147" s="254"/>
      <c r="AJ147" s="254"/>
      <c r="AK147" s="254"/>
      <c r="AL147" s="254"/>
      <c r="AM147" s="254"/>
    </row>
    <row r="148" spans="1:39">
      <c r="A148" s="28"/>
      <c r="C148" s="170"/>
      <c r="D148" s="170"/>
      <c r="E148" s="170"/>
      <c r="F148" s="170"/>
      <c r="G148" s="170"/>
      <c r="H148" s="170"/>
      <c r="I148" s="170"/>
      <c r="J148" s="29"/>
      <c r="K148" s="29"/>
      <c r="L148" s="29"/>
      <c r="M148" s="29"/>
      <c r="N148" s="29"/>
      <c r="O148" s="333"/>
      <c r="R148" s="254"/>
      <c r="S148" s="254"/>
      <c r="T148" s="254"/>
      <c r="U148" s="254"/>
      <c r="V148" s="254"/>
      <c r="W148" s="254"/>
      <c r="X148" s="254"/>
      <c r="Y148" s="254"/>
      <c r="Z148" s="254"/>
      <c r="AA148" s="254"/>
      <c r="AB148" s="254"/>
      <c r="AC148" s="254"/>
      <c r="AD148" s="254"/>
      <c r="AE148" s="254"/>
      <c r="AF148" s="254"/>
      <c r="AG148" s="254"/>
      <c r="AH148" s="254"/>
      <c r="AI148" s="254"/>
      <c r="AJ148" s="254"/>
      <c r="AK148" s="254"/>
      <c r="AL148" s="254"/>
      <c r="AM148" s="254"/>
    </row>
    <row r="149" spans="1:39">
      <c r="A149" s="28"/>
      <c r="C149" s="170"/>
      <c r="D149" s="170"/>
      <c r="E149" s="170"/>
      <c r="F149" s="170"/>
      <c r="G149" s="170"/>
      <c r="H149" s="170"/>
      <c r="I149" s="170"/>
      <c r="J149" s="29"/>
      <c r="K149" s="29"/>
      <c r="L149" s="29"/>
      <c r="M149" s="29"/>
      <c r="N149" s="29"/>
      <c r="O149" s="333"/>
      <c r="R149" s="254"/>
      <c r="S149" s="254"/>
      <c r="T149" s="254"/>
      <c r="U149" s="254"/>
      <c r="V149" s="254"/>
      <c r="W149" s="254"/>
      <c r="X149" s="254"/>
      <c r="Y149" s="254"/>
      <c r="Z149" s="254"/>
      <c r="AA149" s="254"/>
      <c r="AB149" s="254"/>
      <c r="AC149" s="254"/>
      <c r="AD149" s="254"/>
      <c r="AE149" s="254"/>
      <c r="AF149" s="254"/>
      <c r="AG149" s="254"/>
      <c r="AH149" s="254"/>
      <c r="AI149" s="254"/>
      <c r="AJ149" s="254"/>
      <c r="AK149" s="254"/>
      <c r="AL149" s="254"/>
      <c r="AM149" s="254"/>
    </row>
    <row r="150" spans="1:39">
      <c r="A150" s="28"/>
      <c r="C150" s="170"/>
      <c r="D150" s="170"/>
      <c r="E150" s="170"/>
      <c r="F150" s="170"/>
      <c r="G150" s="170"/>
      <c r="H150" s="170"/>
      <c r="I150" s="170"/>
      <c r="J150" s="29"/>
      <c r="K150" s="29"/>
      <c r="L150" s="29"/>
      <c r="M150" s="29"/>
      <c r="N150" s="29"/>
      <c r="O150" s="333"/>
      <c r="R150" s="254"/>
      <c r="S150" s="254"/>
      <c r="T150" s="254"/>
      <c r="U150" s="254"/>
      <c r="V150" s="254"/>
      <c r="W150" s="254"/>
      <c r="X150" s="254"/>
      <c r="Y150" s="254"/>
      <c r="Z150" s="254"/>
      <c r="AA150" s="254"/>
      <c r="AB150" s="254"/>
      <c r="AC150" s="254"/>
      <c r="AD150" s="254"/>
      <c r="AE150" s="254"/>
      <c r="AF150" s="254"/>
      <c r="AG150" s="254"/>
      <c r="AH150" s="254"/>
      <c r="AI150" s="254"/>
      <c r="AJ150" s="254"/>
      <c r="AK150" s="254"/>
      <c r="AL150" s="254"/>
      <c r="AM150" s="254"/>
    </row>
    <row r="151" spans="1:39">
      <c r="A151" s="28"/>
      <c r="C151" s="170"/>
      <c r="D151" s="170"/>
      <c r="E151" s="170"/>
      <c r="F151" s="170"/>
      <c r="G151" s="170"/>
      <c r="H151" s="170"/>
      <c r="I151" s="170"/>
      <c r="J151" s="29"/>
      <c r="K151" s="29"/>
      <c r="L151" s="29"/>
      <c r="M151" s="29"/>
      <c r="N151" s="29"/>
      <c r="O151" s="333"/>
      <c r="R151" s="254"/>
      <c r="S151" s="254"/>
      <c r="T151" s="254"/>
      <c r="U151" s="254"/>
      <c r="V151" s="254"/>
      <c r="W151" s="254"/>
      <c r="X151" s="254"/>
      <c r="Y151" s="254"/>
      <c r="Z151" s="254"/>
      <c r="AA151" s="254"/>
      <c r="AB151" s="254"/>
      <c r="AC151" s="254"/>
      <c r="AD151" s="254"/>
      <c r="AE151" s="254"/>
      <c r="AF151" s="254"/>
      <c r="AG151" s="254"/>
      <c r="AH151" s="254"/>
      <c r="AI151" s="254"/>
      <c r="AJ151" s="254"/>
      <c r="AK151" s="254"/>
      <c r="AL151" s="254"/>
      <c r="AM151" s="254"/>
    </row>
    <row r="152" spans="1:39">
      <c r="A152" s="28"/>
      <c r="C152" s="170"/>
      <c r="D152" s="170"/>
      <c r="E152" s="170"/>
      <c r="F152" s="170"/>
      <c r="G152" s="170"/>
      <c r="H152" s="170"/>
      <c r="I152" s="170"/>
      <c r="J152" s="29"/>
      <c r="K152" s="29"/>
      <c r="L152" s="29"/>
      <c r="M152" s="29"/>
      <c r="N152" s="29"/>
      <c r="O152" s="333"/>
      <c r="R152" s="254"/>
      <c r="S152" s="254"/>
      <c r="T152" s="254"/>
      <c r="U152" s="254"/>
      <c r="V152" s="254"/>
      <c r="W152" s="254"/>
      <c r="X152" s="254"/>
      <c r="Y152" s="254"/>
      <c r="Z152" s="254"/>
      <c r="AA152" s="254"/>
      <c r="AB152" s="254"/>
      <c r="AC152" s="254"/>
      <c r="AD152" s="254"/>
      <c r="AE152" s="254"/>
      <c r="AF152" s="254"/>
      <c r="AG152" s="254"/>
      <c r="AH152" s="254"/>
      <c r="AI152" s="254"/>
      <c r="AJ152" s="254"/>
      <c r="AK152" s="254"/>
      <c r="AL152" s="254"/>
      <c r="AM152" s="254"/>
    </row>
    <row r="153" spans="1:39">
      <c r="A153" s="28"/>
      <c r="C153" s="170"/>
      <c r="D153" s="170"/>
      <c r="E153" s="170"/>
      <c r="F153" s="170"/>
      <c r="G153" s="170"/>
      <c r="H153" s="170"/>
      <c r="I153" s="170"/>
      <c r="J153" s="29"/>
      <c r="K153" s="29"/>
      <c r="L153" s="29"/>
      <c r="M153" s="29"/>
      <c r="N153" s="29"/>
      <c r="O153" s="333"/>
      <c r="R153" s="254"/>
      <c r="S153" s="254"/>
      <c r="T153" s="254"/>
      <c r="U153" s="254"/>
      <c r="V153" s="254"/>
      <c r="W153" s="254"/>
      <c r="X153" s="254"/>
      <c r="Y153" s="254"/>
      <c r="Z153" s="254"/>
      <c r="AA153" s="254"/>
      <c r="AB153" s="254"/>
      <c r="AC153" s="254"/>
      <c r="AD153" s="254"/>
      <c r="AE153" s="254"/>
      <c r="AF153" s="254"/>
      <c r="AG153" s="254"/>
      <c r="AH153" s="254"/>
      <c r="AI153" s="254"/>
      <c r="AJ153" s="254"/>
      <c r="AK153" s="254"/>
      <c r="AL153" s="254"/>
      <c r="AM153" s="254"/>
    </row>
    <row r="154" spans="1:39">
      <c r="A154" s="28"/>
      <c r="C154" s="170"/>
      <c r="D154" s="170"/>
      <c r="E154" s="170"/>
      <c r="F154" s="170"/>
      <c r="G154" s="170"/>
      <c r="H154" s="170"/>
      <c r="I154" s="170"/>
      <c r="J154" s="29"/>
      <c r="K154" s="29"/>
      <c r="L154" s="29"/>
      <c r="M154" s="29"/>
      <c r="N154" s="29"/>
      <c r="O154" s="333"/>
      <c r="R154" s="254"/>
      <c r="S154" s="254"/>
      <c r="T154" s="254"/>
      <c r="U154" s="254"/>
      <c r="V154" s="254"/>
      <c r="W154" s="254"/>
      <c r="X154" s="254"/>
      <c r="Y154" s="254"/>
      <c r="Z154" s="254"/>
      <c r="AA154" s="254"/>
      <c r="AB154" s="254"/>
      <c r="AC154" s="254"/>
      <c r="AD154" s="254"/>
      <c r="AE154" s="254"/>
      <c r="AF154" s="254"/>
      <c r="AG154" s="254"/>
      <c r="AH154" s="254"/>
      <c r="AI154" s="254"/>
      <c r="AJ154" s="254"/>
      <c r="AK154" s="254"/>
      <c r="AL154" s="254"/>
      <c r="AM154" s="254"/>
    </row>
    <row r="155" spans="1:39">
      <c r="A155" s="28"/>
      <c r="C155" s="170"/>
      <c r="D155" s="170"/>
      <c r="E155" s="170"/>
      <c r="F155" s="170"/>
      <c r="G155" s="170"/>
      <c r="H155" s="170"/>
      <c r="I155" s="170"/>
      <c r="J155" s="29"/>
      <c r="K155" s="29"/>
      <c r="L155" s="29"/>
      <c r="M155" s="29"/>
      <c r="N155" s="29"/>
      <c r="O155" s="333"/>
      <c r="R155" s="254"/>
      <c r="S155" s="254"/>
      <c r="T155" s="254"/>
      <c r="U155" s="254"/>
      <c r="V155" s="254"/>
      <c r="W155" s="254"/>
      <c r="X155" s="254"/>
      <c r="Y155" s="254"/>
      <c r="Z155" s="254"/>
      <c r="AA155" s="254"/>
      <c r="AB155" s="254"/>
      <c r="AC155" s="254"/>
      <c r="AD155" s="254"/>
      <c r="AE155" s="254"/>
      <c r="AF155" s="254"/>
      <c r="AG155" s="254"/>
      <c r="AH155" s="254"/>
      <c r="AI155" s="254"/>
      <c r="AJ155" s="254"/>
      <c r="AK155" s="254"/>
      <c r="AL155" s="254"/>
      <c r="AM155" s="254"/>
    </row>
    <row r="156" spans="1:39">
      <c r="A156" s="28"/>
      <c r="C156" s="170"/>
      <c r="D156" s="170"/>
      <c r="E156" s="170"/>
      <c r="F156" s="170"/>
      <c r="G156" s="170"/>
      <c r="H156" s="170"/>
      <c r="I156" s="170"/>
      <c r="J156" s="29"/>
      <c r="K156" s="29"/>
      <c r="L156" s="29"/>
      <c r="M156" s="29"/>
      <c r="N156" s="29"/>
      <c r="O156" s="333"/>
      <c r="R156" s="254"/>
      <c r="S156" s="254"/>
      <c r="T156" s="254"/>
      <c r="U156" s="254"/>
      <c r="V156" s="254"/>
      <c r="W156" s="254"/>
      <c r="X156" s="254"/>
      <c r="Y156" s="254"/>
      <c r="Z156" s="254"/>
      <c r="AA156" s="254"/>
      <c r="AB156" s="254"/>
      <c r="AC156" s="254"/>
      <c r="AD156" s="254"/>
      <c r="AE156" s="254"/>
      <c r="AF156" s="254"/>
      <c r="AG156" s="254"/>
      <c r="AH156" s="254"/>
      <c r="AI156" s="254"/>
      <c r="AJ156" s="254"/>
      <c r="AK156" s="254"/>
      <c r="AL156" s="254"/>
      <c r="AM156" s="254"/>
    </row>
    <row r="157" spans="1:39">
      <c r="A157" s="28"/>
      <c r="C157" s="170"/>
      <c r="D157" s="170"/>
      <c r="E157" s="170"/>
      <c r="F157" s="170"/>
      <c r="G157" s="170"/>
      <c r="H157" s="170"/>
      <c r="I157" s="170"/>
      <c r="J157" s="29"/>
      <c r="K157" s="29"/>
      <c r="L157" s="29"/>
      <c r="M157" s="29"/>
      <c r="N157" s="29"/>
      <c r="O157" s="333"/>
      <c r="R157" s="254"/>
      <c r="S157" s="254"/>
      <c r="T157" s="254"/>
      <c r="U157" s="254"/>
      <c r="V157" s="254"/>
      <c r="W157" s="254"/>
      <c r="X157" s="254"/>
      <c r="Y157" s="254"/>
      <c r="Z157" s="254"/>
      <c r="AA157" s="254"/>
      <c r="AB157" s="254"/>
      <c r="AC157" s="254"/>
      <c r="AD157" s="254"/>
      <c r="AE157" s="254"/>
      <c r="AF157" s="254"/>
      <c r="AG157" s="254"/>
      <c r="AH157" s="254"/>
      <c r="AI157" s="254"/>
      <c r="AJ157" s="254"/>
      <c r="AK157" s="254"/>
      <c r="AL157" s="254"/>
      <c r="AM157" s="254"/>
    </row>
    <row r="158" spans="1:39">
      <c r="A158" s="28"/>
      <c r="C158" s="170"/>
      <c r="D158" s="170"/>
      <c r="E158" s="170"/>
      <c r="F158" s="170"/>
      <c r="G158" s="170"/>
      <c r="H158" s="170"/>
      <c r="I158" s="170"/>
      <c r="J158" s="29"/>
      <c r="K158" s="29"/>
      <c r="L158" s="29"/>
      <c r="M158" s="29"/>
      <c r="N158" s="29"/>
      <c r="O158" s="333"/>
      <c r="R158" s="254"/>
      <c r="S158" s="254"/>
      <c r="T158" s="254"/>
      <c r="U158" s="254"/>
      <c r="V158" s="254"/>
      <c r="W158" s="254"/>
      <c r="X158" s="254"/>
      <c r="Y158" s="254"/>
      <c r="Z158" s="254"/>
      <c r="AA158" s="254"/>
      <c r="AB158" s="254"/>
      <c r="AC158" s="254"/>
      <c r="AD158" s="254"/>
      <c r="AE158" s="254"/>
      <c r="AF158" s="254"/>
      <c r="AG158" s="254"/>
      <c r="AH158" s="254"/>
      <c r="AI158" s="254"/>
      <c r="AJ158" s="254"/>
      <c r="AK158" s="254"/>
      <c r="AL158" s="254"/>
      <c r="AM158" s="254"/>
    </row>
    <row r="159" spans="1:39">
      <c r="A159" s="28"/>
      <c r="C159" s="170"/>
      <c r="D159" s="170"/>
      <c r="E159" s="170"/>
      <c r="F159" s="170"/>
      <c r="G159" s="170"/>
      <c r="H159" s="170"/>
      <c r="I159" s="170"/>
      <c r="J159" s="29"/>
      <c r="K159" s="29"/>
      <c r="L159" s="29"/>
      <c r="M159" s="29"/>
      <c r="N159" s="29"/>
      <c r="O159" s="333"/>
      <c r="R159" s="254"/>
      <c r="S159" s="254"/>
      <c r="T159" s="254"/>
      <c r="U159" s="254"/>
      <c r="V159" s="254"/>
      <c r="W159" s="254"/>
      <c r="X159" s="254"/>
      <c r="Y159" s="254"/>
      <c r="Z159" s="254"/>
      <c r="AA159" s="254"/>
      <c r="AB159" s="254"/>
      <c r="AC159" s="254"/>
      <c r="AD159" s="254"/>
      <c r="AE159" s="254"/>
      <c r="AF159" s="254"/>
      <c r="AG159" s="254"/>
      <c r="AH159" s="254"/>
      <c r="AI159" s="254"/>
      <c r="AJ159" s="254"/>
      <c r="AK159" s="254"/>
      <c r="AL159" s="254"/>
      <c r="AM159" s="254"/>
    </row>
    <row r="160" spans="1:39">
      <c r="A160" s="28"/>
      <c r="C160" s="170"/>
      <c r="D160" s="170"/>
      <c r="E160" s="170"/>
      <c r="F160" s="170"/>
      <c r="G160" s="170"/>
      <c r="H160" s="170"/>
      <c r="I160" s="170"/>
      <c r="J160" s="29"/>
      <c r="K160" s="29"/>
      <c r="L160" s="29"/>
      <c r="M160" s="29"/>
      <c r="N160" s="29"/>
      <c r="O160" s="333"/>
      <c r="R160" s="254"/>
      <c r="S160" s="254"/>
      <c r="T160" s="254"/>
      <c r="U160" s="254"/>
      <c r="V160" s="254"/>
      <c r="W160" s="254"/>
      <c r="X160" s="254"/>
      <c r="Y160" s="254"/>
      <c r="Z160" s="254"/>
      <c r="AA160" s="254"/>
      <c r="AB160" s="254"/>
      <c r="AC160" s="254"/>
      <c r="AD160" s="254"/>
      <c r="AE160" s="254"/>
      <c r="AF160" s="254"/>
      <c r="AG160" s="254"/>
      <c r="AH160" s="254"/>
      <c r="AI160" s="254"/>
      <c r="AJ160" s="254"/>
      <c r="AK160" s="254"/>
      <c r="AL160" s="254"/>
      <c r="AM160" s="254"/>
    </row>
    <row r="161" spans="1:39">
      <c r="A161" s="28"/>
      <c r="C161" s="170"/>
      <c r="D161" s="170"/>
      <c r="E161" s="170"/>
      <c r="F161" s="170"/>
      <c r="G161" s="170"/>
      <c r="H161" s="170"/>
      <c r="I161" s="170"/>
      <c r="J161" s="29"/>
      <c r="K161" s="29"/>
      <c r="L161" s="29"/>
      <c r="M161" s="29"/>
      <c r="N161" s="29"/>
      <c r="O161" s="333"/>
      <c r="R161" s="254"/>
      <c r="S161" s="254"/>
      <c r="T161" s="254"/>
      <c r="U161" s="254"/>
      <c r="V161" s="254"/>
      <c r="W161" s="254"/>
      <c r="X161" s="254"/>
      <c r="Y161" s="254"/>
      <c r="Z161" s="254"/>
      <c r="AA161" s="254"/>
      <c r="AB161" s="254"/>
      <c r="AC161" s="254"/>
      <c r="AD161" s="254"/>
      <c r="AE161" s="254"/>
      <c r="AF161" s="254"/>
      <c r="AG161" s="254"/>
      <c r="AH161" s="254"/>
      <c r="AI161" s="254"/>
      <c r="AJ161" s="254"/>
      <c r="AK161" s="254"/>
      <c r="AL161" s="254"/>
      <c r="AM161" s="254"/>
    </row>
    <row r="162" spans="1:39">
      <c r="A162" s="28"/>
      <c r="C162" s="170"/>
      <c r="D162" s="170"/>
      <c r="E162" s="170"/>
      <c r="F162" s="170"/>
      <c r="G162" s="170"/>
      <c r="H162" s="170"/>
      <c r="I162" s="170"/>
      <c r="J162" s="29"/>
      <c r="K162" s="29"/>
      <c r="L162" s="29"/>
      <c r="M162" s="29"/>
      <c r="N162" s="29"/>
      <c r="O162" s="333"/>
      <c r="R162" s="254"/>
      <c r="S162" s="254"/>
      <c r="T162" s="254"/>
      <c r="U162" s="254"/>
      <c r="V162" s="254"/>
      <c r="W162" s="254"/>
      <c r="X162" s="254"/>
      <c r="Y162" s="254"/>
      <c r="Z162" s="254"/>
      <c r="AA162" s="254"/>
      <c r="AB162" s="254"/>
      <c r="AC162" s="254"/>
      <c r="AD162" s="254"/>
      <c r="AE162" s="254"/>
      <c r="AF162" s="254"/>
      <c r="AG162" s="254"/>
      <c r="AH162" s="254"/>
      <c r="AI162" s="254"/>
      <c r="AJ162" s="254"/>
      <c r="AK162" s="254"/>
      <c r="AL162" s="254"/>
      <c r="AM162" s="254"/>
    </row>
    <row r="163" spans="1:39">
      <c r="A163" s="28"/>
      <c r="C163" s="170"/>
      <c r="D163" s="170"/>
      <c r="E163" s="170"/>
      <c r="F163" s="170"/>
      <c r="G163" s="170"/>
      <c r="H163" s="170"/>
      <c r="I163" s="170"/>
      <c r="J163" s="29"/>
      <c r="K163" s="29"/>
      <c r="L163" s="29"/>
      <c r="M163" s="29"/>
      <c r="N163" s="29"/>
      <c r="O163" s="333"/>
      <c r="R163" s="254"/>
      <c r="S163" s="254"/>
      <c r="T163" s="254"/>
      <c r="U163" s="254"/>
      <c r="V163" s="254"/>
      <c r="W163" s="254"/>
      <c r="X163" s="254"/>
      <c r="Y163" s="254"/>
      <c r="Z163" s="254"/>
      <c r="AA163" s="254"/>
      <c r="AB163" s="254"/>
      <c r="AC163" s="254"/>
      <c r="AD163" s="254"/>
      <c r="AE163" s="254"/>
      <c r="AF163" s="254"/>
      <c r="AG163" s="254"/>
      <c r="AH163" s="254"/>
      <c r="AI163" s="254"/>
      <c r="AJ163" s="254"/>
      <c r="AK163" s="254"/>
      <c r="AL163" s="254"/>
      <c r="AM163" s="254"/>
    </row>
    <row r="164" spans="1:39">
      <c r="A164" s="28"/>
      <c r="C164" s="170"/>
      <c r="D164" s="170"/>
      <c r="E164" s="170"/>
      <c r="F164" s="170"/>
      <c r="G164" s="170"/>
      <c r="H164" s="170"/>
      <c r="I164" s="170"/>
      <c r="J164" s="29"/>
      <c r="K164" s="29"/>
      <c r="L164" s="29"/>
      <c r="M164" s="29"/>
      <c r="N164" s="29"/>
      <c r="O164" s="333"/>
      <c r="R164" s="254"/>
      <c r="S164" s="254"/>
      <c r="T164" s="254"/>
      <c r="U164" s="254"/>
      <c r="V164" s="254"/>
      <c r="W164" s="254"/>
      <c r="X164" s="254"/>
      <c r="Y164" s="254"/>
      <c r="Z164" s="254"/>
      <c r="AA164" s="254"/>
      <c r="AB164" s="254"/>
      <c r="AC164" s="254"/>
      <c r="AD164" s="254"/>
      <c r="AE164" s="254"/>
      <c r="AF164" s="254"/>
      <c r="AG164" s="254"/>
      <c r="AH164" s="254"/>
      <c r="AI164" s="254"/>
      <c r="AJ164" s="254"/>
      <c r="AK164" s="254"/>
      <c r="AL164" s="254"/>
      <c r="AM164" s="254"/>
    </row>
    <row r="165" spans="1:39">
      <c r="A165" s="28"/>
      <c r="C165" s="170"/>
      <c r="D165" s="170"/>
      <c r="E165" s="170"/>
      <c r="F165" s="170"/>
      <c r="G165" s="170"/>
      <c r="H165" s="170"/>
      <c r="I165" s="170"/>
      <c r="J165" s="29"/>
      <c r="K165" s="29"/>
      <c r="L165" s="29"/>
      <c r="M165" s="29"/>
      <c r="N165" s="29"/>
      <c r="O165" s="333"/>
      <c r="R165" s="254"/>
      <c r="S165" s="254"/>
      <c r="T165" s="254"/>
      <c r="U165" s="254"/>
      <c r="V165" s="254"/>
      <c r="W165" s="254"/>
      <c r="X165" s="254"/>
      <c r="Y165" s="254"/>
      <c r="Z165" s="254"/>
      <c r="AA165" s="254"/>
      <c r="AB165" s="254"/>
      <c r="AC165" s="254"/>
      <c r="AD165" s="254"/>
      <c r="AE165" s="254"/>
      <c r="AF165" s="254"/>
      <c r="AG165" s="254"/>
      <c r="AH165" s="254"/>
      <c r="AI165" s="254"/>
      <c r="AJ165" s="254"/>
      <c r="AK165" s="254"/>
      <c r="AL165" s="254"/>
      <c r="AM165" s="254"/>
    </row>
    <row r="166" spans="1:39">
      <c r="A166" s="28"/>
      <c r="C166" s="170"/>
      <c r="D166" s="170"/>
      <c r="E166" s="170"/>
      <c r="F166" s="170"/>
      <c r="G166" s="170"/>
      <c r="H166" s="170"/>
      <c r="I166" s="170"/>
      <c r="J166" s="29"/>
      <c r="K166" s="29"/>
      <c r="L166" s="29"/>
      <c r="M166" s="29"/>
      <c r="N166" s="29"/>
      <c r="O166" s="333"/>
      <c r="R166" s="254"/>
      <c r="S166" s="254"/>
      <c r="T166" s="254"/>
      <c r="U166" s="254"/>
      <c r="V166" s="254"/>
      <c r="W166" s="254"/>
      <c r="X166" s="254"/>
      <c r="Y166" s="254"/>
      <c r="Z166" s="254"/>
      <c r="AA166" s="254"/>
      <c r="AB166" s="254"/>
      <c r="AC166" s="254"/>
      <c r="AD166" s="254"/>
      <c r="AE166" s="254"/>
      <c r="AF166" s="254"/>
      <c r="AG166" s="254"/>
      <c r="AH166" s="254"/>
      <c r="AI166" s="254"/>
      <c r="AJ166" s="254"/>
      <c r="AK166" s="254"/>
      <c r="AL166" s="254"/>
      <c r="AM166" s="254"/>
    </row>
    <row r="167" spans="1:39">
      <c r="A167" s="28"/>
      <c r="C167" s="170"/>
      <c r="D167" s="170"/>
      <c r="E167" s="170"/>
      <c r="F167" s="170"/>
      <c r="G167" s="170"/>
      <c r="H167" s="170"/>
      <c r="I167" s="170"/>
      <c r="J167" s="29"/>
      <c r="K167" s="29"/>
      <c r="L167" s="29"/>
      <c r="M167" s="29"/>
      <c r="N167" s="29"/>
      <c r="O167" s="333"/>
      <c r="R167" s="254"/>
      <c r="S167" s="254"/>
      <c r="T167" s="254"/>
      <c r="U167" s="254"/>
      <c r="V167" s="254"/>
      <c r="W167" s="254"/>
      <c r="X167" s="254"/>
      <c r="Y167" s="254"/>
      <c r="Z167" s="254"/>
      <c r="AA167" s="254"/>
      <c r="AB167" s="254"/>
      <c r="AC167" s="254"/>
      <c r="AD167" s="254"/>
      <c r="AE167" s="254"/>
      <c r="AF167" s="254"/>
      <c r="AG167" s="254"/>
      <c r="AH167" s="254"/>
      <c r="AI167" s="254"/>
      <c r="AJ167" s="254"/>
      <c r="AK167" s="254"/>
      <c r="AL167" s="254"/>
      <c r="AM167" s="254"/>
    </row>
    <row r="168" spans="1:39">
      <c r="A168" s="28"/>
      <c r="C168" s="170"/>
      <c r="D168" s="170"/>
      <c r="E168" s="170"/>
      <c r="F168" s="170"/>
      <c r="G168" s="170"/>
      <c r="H168" s="170"/>
      <c r="I168" s="170"/>
      <c r="J168" s="29"/>
      <c r="K168" s="29"/>
      <c r="L168" s="29"/>
      <c r="M168" s="29"/>
      <c r="N168" s="29"/>
      <c r="O168" s="333"/>
      <c r="R168" s="254"/>
      <c r="S168" s="254"/>
      <c r="T168" s="254"/>
      <c r="U168" s="254"/>
      <c r="V168" s="254"/>
      <c r="W168" s="254"/>
      <c r="X168" s="254"/>
      <c r="Y168" s="254"/>
      <c r="Z168" s="254"/>
      <c r="AA168" s="254"/>
      <c r="AB168" s="254"/>
      <c r="AC168" s="254"/>
      <c r="AD168" s="254"/>
      <c r="AE168" s="254"/>
      <c r="AF168" s="254"/>
      <c r="AG168" s="254"/>
      <c r="AH168" s="254"/>
      <c r="AI168" s="254"/>
      <c r="AJ168" s="254"/>
      <c r="AK168" s="254"/>
      <c r="AL168" s="254"/>
      <c r="AM168" s="254"/>
    </row>
    <row r="169" spans="1:39">
      <c r="A169" s="28"/>
      <c r="C169" s="170"/>
      <c r="D169" s="170"/>
      <c r="E169" s="170"/>
      <c r="F169" s="170"/>
      <c r="G169" s="170"/>
      <c r="H169" s="170"/>
      <c r="I169" s="170"/>
      <c r="J169" s="29"/>
      <c r="K169" s="29"/>
      <c r="L169" s="29"/>
      <c r="M169" s="29"/>
      <c r="N169" s="29"/>
      <c r="O169" s="333"/>
      <c r="R169" s="254"/>
      <c r="S169" s="254"/>
      <c r="T169" s="254"/>
      <c r="U169" s="254"/>
      <c r="V169" s="254"/>
      <c r="W169" s="254"/>
      <c r="X169" s="254"/>
      <c r="Y169" s="254"/>
      <c r="Z169" s="254"/>
      <c r="AA169" s="254"/>
      <c r="AB169" s="254"/>
      <c r="AC169" s="254"/>
      <c r="AD169" s="254"/>
      <c r="AE169" s="254"/>
      <c r="AF169" s="254"/>
      <c r="AG169" s="254"/>
      <c r="AH169" s="254"/>
      <c r="AI169" s="254"/>
      <c r="AJ169" s="254"/>
      <c r="AK169" s="254"/>
      <c r="AL169" s="254"/>
      <c r="AM169" s="254"/>
    </row>
    <row r="170" spans="1:39">
      <c r="A170" s="28"/>
      <c r="C170" s="170"/>
      <c r="D170" s="170"/>
      <c r="E170" s="170"/>
      <c r="F170" s="170"/>
      <c r="G170" s="170"/>
      <c r="H170" s="170"/>
      <c r="I170" s="170"/>
      <c r="J170" s="29"/>
      <c r="K170" s="29"/>
      <c r="L170" s="29"/>
      <c r="M170" s="29"/>
      <c r="N170" s="29"/>
      <c r="O170" s="333"/>
      <c r="R170" s="254"/>
      <c r="S170" s="254"/>
      <c r="T170" s="254"/>
      <c r="U170" s="254"/>
      <c r="V170" s="254"/>
      <c r="W170" s="254"/>
      <c r="X170" s="254"/>
      <c r="Y170" s="254"/>
      <c r="Z170" s="254"/>
      <c r="AA170" s="254"/>
      <c r="AB170" s="254"/>
      <c r="AC170" s="254"/>
      <c r="AD170" s="254"/>
      <c r="AE170" s="254"/>
      <c r="AF170" s="254"/>
      <c r="AG170" s="254"/>
      <c r="AH170" s="254"/>
      <c r="AI170" s="254"/>
      <c r="AJ170" s="254"/>
      <c r="AK170" s="254"/>
      <c r="AL170" s="254"/>
      <c r="AM170" s="254"/>
    </row>
    <row r="171" spans="1:39">
      <c r="A171" s="28"/>
      <c r="C171" s="170"/>
      <c r="D171" s="170"/>
      <c r="E171" s="170"/>
      <c r="F171" s="170"/>
      <c r="G171" s="170"/>
      <c r="H171" s="170"/>
      <c r="I171" s="170"/>
      <c r="J171" s="29"/>
      <c r="K171" s="29"/>
      <c r="L171" s="29"/>
      <c r="M171" s="29"/>
      <c r="N171" s="29"/>
      <c r="O171" s="333"/>
      <c r="R171" s="254"/>
      <c r="S171" s="254"/>
      <c r="T171" s="254"/>
      <c r="U171" s="254"/>
      <c r="V171" s="254"/>
      <c r="W171" s="254"/>
      <c r="X171" s="254"/>
      <c r="Y171" s="254"/>
      <c r="Z171" s="254"/>
      <c r="AA171" s="254"/>
      <c r="AB171" s="254"/>
      <c r="AC171" s="254"/>
      <c r="AD171" s="254"/>
      <c r="AE171" s="254"/>
      <c r="AF171" s="254"/>
      <c r="AG171" s="254"/>
      <c r="AH171" s="254"/>
      <c r="AI171" s="254"/>
      <c r="AJ171" s="254"/>
      <c r="AK171" s="254"/>
      <c r="AL171" s="254"/>
      <c r="AM171" s="254"/>
    </row>
    <row r="172" spans="1:39">
      <c r="A172" s="28"/>
      <c r="C172" s="170"/>
      <c r="D172" s="170"/>
      <c r="E172" s="170"/>
      <c r="F172" s="170"/>
      <c r="G172" s="170"/>
      <c r="H172" s="170"/>
      <c r="I172" s="170"/>
      <c r="J172" s="29"/>
      <c r="K172" s="29"/>
      <c r="L172" s="29"/>
      <c r="M172" s="29"/>
      <c r="N172" s="29"/>
      <c r="O172" s="333"/>
      <c r="R172" s="254"/>
      <c r="S172" s="254"/>
      <c r="T172" s="254"/>
      <c r="U172" s="254"/>
      <c r="V172" s="254"/>
      <c r="W172" s="254"/>
      <c r="X172" s="254"/>
      <c r="Y172" s="254"/>
      <c r="Z172" s="254"/>
      <c r="AA172" s="254"/>
      <c r="AB172" s="254"/>
      <c r="AC172" s="254"/>
      <c r="AD172" s="254"/>
      <c r="AE172" s="254"/>
      <c r="AF172" s="254"/>
      <c r="AG172" s="254"/>
      <c r="AH172" s="254"/>
      <c r="AI172" s="254"/>
      <c r="AJ172" s="254"/>
      <c r="AK172" s="254"/>
      <c r="AL172" s="254"/>
      <c r="AM172" s="254"/>
    </row>
    <row r="173" spans="1:39">
      <c r="A173" s="28"/>
      <c r="C173" s="170"/>
      <c r="D173" s="170"/>
      <c r="E173" s="170"/>
      <c r="F173" s="170"/>
      <c r="G173" s="170"/>
      <c r="H173" s="170"/>
      <c r="I173" s="170"/>
      <c r="J173" s="29"/>
      <c r="K173" s="29"/>
      <c r="L173" s="29"/>
      <c r="M173" s="29"/>
      <c r="N173" s="29"/>
      <c r="O173" s="333"/>
      <c r="R173" s="254"/>
      <c r="S173" s="254"/>
      <c r="T173" s="254"/>
      <c r="U173" s="254"/>
      <c r="V173" s="254"/>
      <c r="W173" s="254"/>
      <c r="X173" s="254"/>
      <c r="Y173" s="254"/>
      <c r="Z173" s="254"/>
      <c r="AA173" s="254"/>
      <c r="AB173" s="254"/>
      <c r="AC173" s="254"/>
      <c r="AD173" s="254"/>
      <c r="AE173" s="254"/>
      <c r="AF173" s="254"/>
      <c r="AG173" s="254"/>
      <c r="AH173" s="254"/>
      <c r="AI173" s="254"/>
      <c r="AJ173" s="254"/>
      <c r="AK173" s="254"/>
      <c r="AL173" s="254"/>
      <c r="AM173" s="254"/>
    </row>
    <row r="174" spans="1:39">
      <c r="A174" s="28"/>
      <c r="C174" s="170"/>
      <c r="D174" s="170"/>
      <c r="E174" s="170"/>
      <c r="F174" s="170"/>
      <c r="G174" s="170"/>
      <c r="H174" s="170"/>
      <c r="I174" s="170"/>
      <c r="J174" s="29"/>
      <c r="K174" s="29"/>
      <c r="L174" s="29"/>
      <c r="M174" s="29"/>
      <c r="N174" s="29"/>
      <c r="O174" s="333"/>
      <c r="R174" s="254"/>
      <c r="S174" s="254"/>
      <c r="T174" s="254"/>
      <c r="U174" s="254"/>
      <c r="V174" s="254"/>
      <c r="W174" s="254"/>
      <c r="X174" s="254"/>
      <c r="Y174" s="254"/>
      <c r="Z174" s="254"/>
      <c r="AA174" s="254"/>
      <c r="AB174" s="254"/>
      <c r="AC174" s="254"/>
      <c r="AD174" s="254"/>
      <c r="AE174" s="254"/>
      <c r="AF174" s="254"/>
      <c r="AG174" s="254"/>
      <c r="AH174" s="254"/>
      <c r="AI174" s="254"/>
      <c r="AJ174" s="254"/>
      <c r="AK174" s="254"/>
      <c r="AL174" s="254"/>
      <c r="AM174" s="254"/>
    </row>
    <row r="175" spans="1:39">
      <c r="A175" s="28"/>
      <c r="C175" s="170"/>
      <c r="D175" s="170"/>
      <c r="E175" s="170"/>
      <c r="F175" s="170"/>
      <c r="G175" s="170"/>
      <c r="H175" s="170"/>
      <c r="I175" s="170"/>
      <c r="J175" s="29"/>
      <c r="K175" s="29"/>
      <c r="L175" s="29"/>
      <c r="M175" s="29"/>
      <c r="N175" s="29"/>
      <c r="O175" s="333"/>
      <c r="R175" s="254"/>
      <c r="S175" s="254"/>
      <c r="T175" s="254"/>
      <c r="U175" s="254"/>
      <c r="V175" s="254"/>
      <c r="W175" s="254"/>
      <c r="X175" s="254"/>
      <c r="Y175" s="254"/>
      <c r="Z175" s="254"/>
      <c r="AA175" s="254"/>
      <c r="AB175" s="254"/>
      <c r="AC175" s="254"/>
      <c r="AD175" s="254"/>
      <c r="AE175" s="254"/>
      <c r="AF175" s="254"/>
      <c r="AG175" s="254"/>
      <c r="AH175" s="254"/>
      <c r="AI175" s="254"/>
      <c r="AJ175" s="254"/>
      <c r="AK175" s="254"/>
      <c r="AL175" s="254"/>
      <c r="AM175" s="254"/>
    </row>
    <row r="176" spans="1:39">
      <c r="A176" s="28"/>
      <c r="C176" s="170"/>
      <c r="D176" s="170"/>
      <c r="E176" s="170"/>
      <c r="F176" s="170"/>
      <c r="G176" s="170"/>
      <c r="H176" s="170"/>
      <c r="I176" s="170"/>
      <c r="J176" s="29"/>
      <c r="K176" s="29"/>
      <c r="L176" s="29"/>
      <c r="M176" s="29"/>
      <c r="N176" s="29"/>
      <c r="O176" s="333"/>
      <c r="R176" s="254"/>
      <c r="S176" s="254"/>
      <c r="T176" s="254"/>
      <c r="U176" s="254"/>
      <c r="V176" s="254"/>
      <c r="W176" s="254"/>
      <c r="X176" s="254"/>
      <c r="Y176" s="254"/>
      <c r="Z176" s="254"/>
      <c r="AA176" s="254"/>
      <c r="AB176" s="254"/>
      <c r="AC176" s="254"/>
      <c r="AD176" s="254"/>
      <c r="AE176" s="254"/>
      <c r="AF176" s="254"/>
      <c r="AG176" s="254"/>
      <c r="AH176" s="254"/>
      <c r="AI176" s="254"/>
      <c r="AJ176" s="254"/>
      <c r="AK176" s="254"/>
      <c r="AL176" s="254"/>
      <c r="AM176" s="254"/>
    </row>
    <row r="177" spans="1:39">
      <c r="A177" s="28"/>
      <c r="C177" s="170"/>
      <c r="D177" s="170"/>
      <c r="E177" s="170"/>
      <c r="F177" s="170"/>
      <c r="G177" s="170"/>
      <c r="H177" s="170"/>
      <c r="I177" s="170"/>
      <c r="J177" s="29"/>
      <c r="K177" s="29"/>
      <c r="L177" s="29"/>
      <c r="M177" s="29"/>
      <c r="N177" s="29"/>
      <c r="O177" s="333"/>
      <c r="R177" s="254"/>
      <c r="S177" s="254"/>
      <c r="T177" s="254"/>
      <c r="U177" s="254"/>
      <c r="V177" s="254"/>
      <c r="W177" s="254"/>
      <c r="X177" s="254"/>
      <c r="Y177" s="254"/>
      <c r="Z177" s="254"/>
      <c r="AA177" s="254"/>
      <c r="AB177" s="254"/>
      <c r="AC177" s="254"/>
      <c r="AD177" s="254"/>
      <c r="AE177" s="254"/>
      <c r="AF177" s="254"/>
      <c r="AG177" s="254"/>
      <c r="AH177" s="254"/>
      <c r="AI177" s="254"/>
      <c r="AJ177" s="254"/>
      <c r="AK177" s="254"/>
      <c r="AL177" s="254"/>
      <c r="AM177" s="254"/>
    </row>
    <row r="178" spans="1:39">
      <c r="A178" s="28"/>
      <c r="C178" s="170"/>
      <c r="D178" s="170"/>
      <c r="E178" s="170"/>
      <c r="F178" s="170"/>
      <c r="G178" s="170"/>
      <c r="H178" s="170"/>
      <c r="I178" s="170"/>
      <c r="J178" s="29"/>
      <c r="K178" s="29"/>
      <c r="L178" s="29"/>
      <c r="M178" s="29"/>
      <c r="N178" s="29"/>
      <c r="O178" s="333"/>
      <c r="R178" s="254"/>
      <c r="S178" s="254"/>
      <c r="T178" s="254"/>
      <c r="U178" s="254"/>
      <c r="V178" s="254"/>
      <c r="W178" s="254"/>
      <c r="X178" s="254"/>
      <c r="Y178" s="254"/>
      <c r="Z178" s="254"/>
      <c r="AA178" s="254"/>
      <c r="AB178" s="254"/>
      <c r="AC178" s="254"/>
      <c r="AD178" s="254"/>
      <c r="AE178" s="254"/>
      <c r="AF178" s="254"/>
      <c r="AG178" s="254"/>
      <c r="AH178" s="254"/>
      <c r="AI178" s="254"/>
      <c r="AJ178" s="254"/>
      <c r="AK178" s="254"/>
      <c r="AL178" s="254"/>
      <c r="AM178" s="254"/>
    </row>
    <row r="179" spans="1:39">
      <c r="A179" s="28"/>
      <c r="C179" s="170"/>
      <c r="D179" s="170"/>
      <c r="E179" s="170"/>
      <c r="F179" s="170"/>
      <c r="G179" s="170"/>
      <c r="H179" s="170"/>
      <c r="I179" s="170"/>
      <c r="J179" s="29"/>
      <c r="K179" s="29"/>
      <c r="L179" s="29"/>
      <c r="M179" s="29"/>
      <c r="N179" s="29"/>
      <c r="O179" s="333"/>
      <c r="R179" s="254"/>
      <c r="S179" s="254"/>
      <c r="T179" s="254"/>
      <c r="U179" s="254"/>
      <c r="V179" s="254"/>
      <c r="W179" s="254"/>
      <c r="X179" s="254"/>
      <c r="Y179" s="254"/>
      <c r="Z179" s="254"/>
      <c r="AA179" s="254"/>
      <c r="AB179" s="254"/>
      <c r="AC179" s="254"/>
      <c r="AD179" s="254"/>
      <c r="AE179" s="254"/>
      <c r="AF179" s="254"/>
      <c r="AG179" s="254"/>
      <c r="AH179" s="254"/>
      <c r="AI179" s="254"/>
      <c r="AJ179" s="254"/>
      <c r="AK179" s="254"/>
      <c r="AL179" s="254"/>
      <c r="AM179" s="254"/>
    </row>
    <row r="180" spans="1:39">
      <c r="A180" s="45"/>
      <c r="O180" s="333"/>
      <c r="R180" s="254"/>
      <c r="S180" s="254"/>
      <c r="T180" s="254"/>
      <c r="U180" s="254"/>
      <c r="V180" s="254"/>
      <c r="W180" s="254"/>
      <c r="X180" s="254"/>
      <c r="Y180" s="254"/>
      <c r="Z180" s="254"/>
      <c r="AA180" s="254"/>
      <c r="AB180" s="254"/>
      <c r="AC180" s="254"/>
      <c r="AD180" s="254"/>
      <c r="AE180" s="254"/>
      <c r="AF180" s="254"/>
      <c r="AG180" s="254"/>
      <c r="AH180" s="254"/>
      <c r="AI180" s="254"/>
      <c r="AJ180" s="254"/>
      <c r="AK180" s="254"/>
      <c r="AL180" s="254"/>
      <c r="AM180" s="254"/>
    </row>
    <row r="181" spans="1:39">
      <c r="A181" s="45"/>
      <c r="O181" s="333"/>
      <c r="R181" s="254"/>
      <c r="S181" s="254"/>
      <c r="T181" s="254"/>
      <c r="U181" s="254"/>
      <c r="V181" s="254"/>
      <c r="W181" s="254"/>
      <c r="X181" s="254"/>
      <c r="Y181" s="254"/>
      <c r="Z181" s="254"/>
      <c r="AA181" s="254"/>
      <c r="AB181" s="254"/>
      <c r="AC181" s="254"/>
      <c r="AD181" s="254"/>
      <c r="AE181" s="254"/>
      <c r="AF181" s="254"/>
      <c r="AG181" s="254"/>
      <c r="AH181" s="254"/>
      <c r="AI181" s="254"/>
      <c r="AJ181" s="254"/>
      <c r="AK181" s="254"/>
      <c r="AL181" s="254"/>
      <c r="AM181" s="254"/>
    </row>
    <row r="182" spans="1:39">
      <c r="A182" s="45"/>
      <c r="O182" s="333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54"/>
      <c r="AF182" s="254"/>
      <c r="AG182" s="254"/>
      <c r="AH182" s="254"/>
      <c r="AI182" s="254"/>
      <c r="AJ182" s="254"/>
      <c r="AK182" s="254"/>
      <c r="AL182" s="254"/>
      <c r="AM182" s="254"/>
    </row>
    <row r="183" spans="1:39">
      <c r="A183" s="45"/>
      <c r="O183" s="333"/>
      <c r="R183" s="254"/>
      <c r="S183" s="254"/>
      <c r="T183" s="254"/>
      <c r="U183" s="254"/>
      <c r="V183" s="254"/>
      <c r="W183" s="254"/>
      <c r="X183" s="254"/>
      <c r="Y183" s="254"/>
      <c r="Z183" s="254"/>
      <c r="AA183" s="254"/>
      <c r="AB183" s="254"/>
      <c r="AC183" s="254"/>
      <c r="AD183" s="254"/>
      <c r="AE183" s="254"/>
      <c r="AF183" s="254"/>
      <c r="AG183" s="254"/>
      <c r="AH183" s="254"/>
      <c r="AI183" s="254"/>
      <c r="AJ183" s="254"/>
      <c r="AK183" s="254"/>
      <c r="AL183" s="254"/>
      <c r="AM183" s="254"/>
    </row>
    <row r="184" spans="1:39">
      <c r="A184" s="45"/>
      <c r="O184" s="333"/>
      <c r="R184" s="254"/>
      <c r="S184" s="254"/>
      <c r="T184" s="254"/>
      <c r="U184" s="254"/>
      <c r="V184" s="254"/>
      <c r="W184" s="254"/>
      <c r="X184" s="254"/>
      <c r="Y184" s="254"/>
      <c r="Z184" s="254"/>
      <c r="AA184" s="254"/>
      <c r="AB184" s="254"/>
      <c r="AC184" s="254"/>
      <c r="AD184" s="254"/>
      <c r="AE184" s="254"/>
      <c r="AF184" s="254"/>
      <c r="AG184" s="254"/>
      <c r="AH184" s="254"/>
      <c r="AI184" s="254"/>
      <c r="AJ184" s="254"/>
      <c r="AK184" s="254"/>
      <c r="AL184" s="254"/>
      <c r="AM184" s="254"/>
    </row>
    <row r="185" spans="1:39">
      <c r="A185" s="45"/>
      <c r="O185" s="333"/>
      <c r="R185" s="254"/>
      <c r="S185" s="254"/>
      <c r="T185" s="254"/>
      <c r="U185" s="254"/>
      <c r="V185" s="254"/>
      <c r="W185" s="254"/>
      <c r="X185" s="254"/>
      <c r="Y185" s="254"/>
      <c r="Z185" s="254"/>
      <c r="AA185" s="254"/>
      <c r="AB185" s="254"/>
      <c r="AC185" s="254"/>
      <c r="AD185" s="254"/>
      <c r="AE185" s="254"/>
      <c r="AF185" s="254"/>
      <c r="AG185" s="254"/>
      <c r="AH185" s="254"/>
      <c r="AI185" s="254"/>
      <c r="AJ185" s="254"/>
      <c r="AK185" s="254"/>
      <c r="AL185" s="254"/>
      <c r="AM185" s="254"/>
    </row>
    <row r="186" spans="1:39">
      <c r="A186" s="45"/>
      <c r="O186" s="333"/>
      <c r="R186" s="254"/>
      <c r="S186" s="254"/>
      <c r="T186" s="254"/>
      <c r="U186" s="254"/>
      <c r="V186" s="254"/>
      <c r="W186" s="254"/>
      <c r="X186" s="254"/>
      <c r="Y186" s="254"/>
      <c r="Z186" s="254"/>
      <c r="AA186" s="254"/>
      <c r="AB186" s="254"/>
      <c r="AC186" s="254"/>
      <c r="AD186" s="254"/>
      <c r="AE186" s="254"/>
      <c r="AF186" s="254"/>
      <c r="AG186" s="254"/>
      <c r="AH186" s="254"/>
      <c r="AI186" s="254"/>
      <c r="AJ186" s="254"/>
      <c r="AK186" s="254"/>
      <c r="AL186" s="254"/>
      <c r="AM186" s="254"/>
    </row>
    <row r="187" spans="1:39">
      <c r="A187" s="45"/>
      <c r="O187" s="333"/>
      <c r="R187" s="254"/>
      <c r="S187" s="254"/>
      <c r="T187" s="254"/>
      <c r="U187" s="254"/>
      <c r="V187" s="254"/>
      <c r="W187" s="254"/>
      <c r="X187" s="254"/>
      <c r="Y187" s="254"/>
      <c r="Z187" s="254"/>
      <c r="AA187" s="254"/>
      <c r="AB187" s="254"/>
      <c r="AC187" s="254"/>
      <c r="AD187" s="254"/>
      <c r="AE187" s="254"/>
      <c r="AF187" s="254"/>
      <c r="AG187" s="254"/>
      <c r="AH187" s="254"/>
      <c r="AI187" s="254"/>
      <c r="AJ187" s="254"/>
      <c r="AK187" s="254"/>
      <c r="AL187" s="254"/>
      <c r="AM187" s="254"/>
    </row>
    <row r="188" spans="1:39">
      <c r="A188" s="45"/>
      <c r="O188" s="333"/>
      <c r="R188" s="254"/>
      <c r="S188" s="254"/>
      <c r="T188" s="254"/>
      <c r="U188" s="254"/>
      <c r="V188" s="254"/>
      <c r="W188" s="254"/>
      <c r="X188" s="254"/>
      <c r="Y188" s="254"/>
      <c r="Z188" s="254"/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4"/>
    </row>
    <row r="189" spans="1:39">
      <c r="A189" s="45"/>
      <c r="O189" s="333"/>
      <c r="R189" s="254"/>
      <c r="S189" s="254"/>
      <c r="T189" s="254"/>
      <c r="U189" s="254"/>
      <c r="V189" s="254"/>
      <c r="W189" s="254"/>
      <c r="X189" s="254"/>
      <c r="Y189" s="254"/>
      <c r="Z189" s="254"/>
      <c r="AA189" s="254"/>
      <c r="AB189" s="254"/>
      <c r="AC189" s="254"/>
      <c r="AD189" s="254"/>
      <c r="AE189" s="254"/>
      <c r="AF189" s="254"/>
      <c r="AG189" s="254"/>
      <c r="AH189" s="254"/>
      <c r="AI189" s="254"/>
      <c r="AJ189" s="254"/>
      <c r="AK189" s="254"/>
      <c r="AL189" s="254"/>
      <c r="AM189" s="254"/>
    </row>
    <row r="190" spans="1:39">
      <c r="A190" s="45"/>
      <c r="O190" s="333"/>
      <c r="R190" s="254"/>
      <c r="S190" s="254"/>
      <c r="T190" s="254"/>
      <c r="U190" s="254"/>
      <c r="V190" s="254"/>
      <c r="W190" s="254"/>
      <c r="X190" s="254"/>
      <c r="Y190" s="254"/>
      <c r="Z190" s="254"/>
      <c r="AA190" s="254"/>
      <c r="AB190" s="254"/>
      <c r="AC190" s="254"/>
      <c r="AD190" s="254"/>
      <c r="AE190" s="254"/>
      <c r="AF190" s="254"/>
      <c r="AG190" s="254"/>
      <c r="AH190" s="254"/>
      <c r="AI190" s="254"/>
      <c r="AJ190" s="254"/>
      <c r="AK190" s="254"/>
      <c r="AL190" s="254"/>
      <c r="AM190" s="254"/>
    </row>
    <row r="191" spans="1:39">
      <c r="A191" s="45"/>
      <c r="O191" s="333"/>
      <c r="R191" s="254"/>
      <c r="S191" s="254"/>
      <c r="T191" s="254"/>
      <c r="U191" s="254"/>
      <c r="V191" s="254"/>
      <c r="W191" s="254"/>
      <c r="X191" s="254"/>
      <c r="Y191" s="254"/>
      <c r="Z191" s="254"/>
      <c r="AA191" s="254"/>
      <c r="AB191" s="254"/>
      <c r="AC191" s="254"/>
      <c r="AD191" s="254"/>
      <c r="AE191" s="254"/>
      <c r="AF191" s="254"/>
      <c r="AG191" s="254"/>
      <c r="AH191" s="254"/>
      <c r="AI191" s="254"/>
      <c r="AJ191" s="254"/>
      <c r="AK191" s="254"/>
      <c r="AL191" s="254"/>
      <c r="AM191" s="254"/>
    </row>
    <row r="192" spans="1:39">
      <c r="A192" s="45"/>
      <c r="O192" s="333"/>
      <c r="R192" s="254"/>
      <c r="S192" s="254"/>
      <c r="T192" s="254"/>
      <c r="U192" s="254"/>
      <c r="V192" s="254"/>
      <c r="W192" s="254"/>
      <c r="X192" s="254"/>
      <c r="Y192" s="254"/>
      <c r="Z192" s="254"/>
      <c r="AA192" s="254"/>
      <c r="AB192" s="254"/>
      <c r="AC192" s="254"/>
      <c r="AD192" s="254"/>
      <c r="AE192" s="254"/>
      <c r="AF192" s="254"/>
      <c r="AG192" s="254"/>
      <c r="AH192" s="254"/>
      <c r="AI192" s="254"/>
      <c r="AJ192" s="254"/>
      <c r="AK192" s="254"/>
      <c r="AL192" s="254"/>
      <c r="AM192" s="254"/>
    </row>
    <row r="193" spans="1:39">
      <c r="A193" s="45"/>
      <c r="O193" s="333"/>
      <c r="R193" s="254"/>
      <c r="S193" s="254"/>
      <c r="T193" s="254"/>
      <c r="U193" s="254"/>
      <c r="V193" s="254"/>
      <c r="W193" s="254"/>
      <c r="X193" s="254"/>
      <c r="Y193" s="254"/>
      <c r="Z193" s="254"/>
      <c r="AA193" s="254"/>
      <c r="AB193" s="254"/>
      <c r="AC193" s="254"/>
      <c r="AD193" s="254"/>
      <c r="AE193" s="254"/>
      <c r="AF193" s="254"/>
      <c r="AG193" s="254"/>
      <c r="AH193" s="254"/>
      <c r="AI193" s="254"/>
      <c r="AJ193" s="254"/>
      <c r="AK193" s="254"/>
      <c r="AL193" s="254"/>
      <c r="AM193" s="254"/>
    </row>
    <row r="194" spans="1:39">
      <c r="A194" s="45"/>
      <c r="O194" s="333"/>
      <c r="R194" s="254"/>
      <c r="S194" s="254"/>
      <c r="T194" s="254"/>
      <c r="U194" s="254"/>
      <c r="V194" s="254"/>
      <c r="W194" s="254"/>
      <c r="X194" s="254"/>
      <c r="Y194" s="254"/>
      <c r="Z194" s="254"/>
      <c r="AA194" s="254"/>
      <c r="AB194" s="254"/>
      <c r="AC194" s="254"/>
      <c r="AD194" s="254"/>
      <c r="AE194" s="254"/>
      <c r="AF194" s="254"/>
      <c r="AG194" s="254"/>
      <c r="AH194" s="254"/>
      <c r="AI194" s="254"/>
      <c r="AJ194" s="254"/>
      <c r="AK194" s="254"/>
      <c r="AL194" s="254"/>
      <c r="AM194" s="254"/>
    </row>
    <row r="195" spans="1:39">
      <c r="A195" s="45"/>
      <c r="O195" s="333"/>
      <c r="R195" s="254"/>
      <c r="S195" s="254"/>
      <c r="T195" s="254"/>
      <c r="U195" s="254"/>
      <c r="V195" s="254"/>
      <c r="W195" s="254"/>
      <c r="X195" s="254"/>
      <c r="Y195" s="254"/>
      <c r="Z195" s="254"/>
      <c r="AA195" s="254"/>
      <c r="AB195" s="254"/>
      <c r="AC195" s="254"/>
      <c r="AD195" s="254"/>
      <c r="AE195" s="254"/>
      <c r="AF195" s="254"/>
      <c r="AG195" s="254"/>
      <c r="AH195" s="254"/>
      <c r="AI195" s="254"/>
      <c r="AJ195" s="254"/>
      <c r="AK195" s="254"/>
      <c r="AL195" s="254"/>
      <c r="AM195" s="254"/>
    </row>
    <row r="196" spans="1:39">
      <c r="A196" s="45"/>
      <c r="O196" s="333"/>
      <c r="R196" s="254"/>
      <c r="S196" s="254"/>
      <c r="T196" s="254"/>
      <c r="U196" s="254"/>
      <c r="V196" s="254"/>
      <c r="W196" s="254"/>
      <c r="X196" s="254"/>
      <c r="Y196" s="254"/>
      <c r="Z196" s="254"/>
      <c r="AA196" s="254"/>
      <c r="AB196" s="254"/>
      <c r="AC196" s="254"/>
      <c r="AD196" s="254"/>
      <c r="AE196" s="254"/>
      <c r="AF196" s="254"/>
      <c r="AG196" s="254"/>
      <c r="AH196" s="254"/>
      <c r="AI196" s="254"/>
      <c r="AJ196" s="254"/>
      <c r="AK196" s="254"/>
      <c r="AL196" s="254"/>
      <c r="AM196" s="254"/>
    </row>
    <row r="197" spans="1:39">
      <c r="A197" s="45"/>
      <c r="O197" s="333"/>
      <c r="R197" s="254"/>
      <c r="S197" s="254"/>
      <c r="T197" s="254"/>
      <c r="U197" s="254"/>
      <c r="V197" s="254"/>
      <c r="W197" s="254"/>
      <c r="X197" s="254"/>
      <c r="Y197" s="254"/>
      <c r="Z197" s="254"/>
      <c r="AA197" s="254"/>
      <c r="AB197" s="254"/>
      <c r="AC197" s="254"/>
      <c r="AD197" s="254"/>
      <c r="AE197" s="254"/>
      <c r="AF197" s="254"/>
      <c r="AG197" s="254"/>
      <c r="AH197" s="254"/>
      <c r="AI197" s="254"/>
      <c r="AJ197" s="254"/>
      <c r="AK197" s="254"/>
      <c r="AL197" s="254"/>
      <c r="AM197" s="254"/>
    </row>
    <row r="198" spans="1:39">
      <c r="A198" s="45"/>
      <c r="O198" s="333"/>
      <c r="R198" s="254"/>
      <c r="S198" s="254"/>
      <c r="T198" s="254"/>
      <c r="U198" s="254"/>
      <c r="V198" s="254"/>
      <c r="W198" s="254"/>
      <c r="X198" s="254"/>
      <c r="Y198" s="254"/>
      <c r="Z198" s="254"/>
      <c r="AA198" s="254"/>
      <c r="AB198" s="254"/>
      <c r="AC198" s="254"/>
      <c r="AD198" s="254"/>
      <c r="AE198" s="254"/>
      <c r="AF198" s="254"/>
      <c r="AG198" s="254"/>
      <c r="AH198" s="254"/>
      <c r="AI198" s="254"/>
      <c r="AJ198" s="254"/>
      <c r="AK198" s="254"/>
      <c r="AL198" s="254"/>
      <c r="AM198" s="254"/>
    </row>
    <row r="199" spans="1:39">
      <c r="A199" s="45"/>
      <c r="O199" s="333"/>
      <c r="R199" s="254"/>
      <c r="S199" s="254"/>
      <c r="T199" s="254"/>
      <c r="U199" s="254"/>
      <c r="V199" s="254"/>
      <c r="W199" s="254"/>
      <c r="X199" s="254"/>
      <c r="Y199" s="254"/>
      <c r="Z199" s="254"/>
      <c r="AA199" s="254"/>
      <c r="AB199" s="254"/>
      <c r="AC199" s="254"/>
      <c r="AD199" s="254"/>
      <c r="AE199" s="254"/>
      <c r="AF199" s="254"/>
      <c r="AG199" s="254"/>
      <c r="AH199" s="254"/>
      <c r="AI199" s="254"/>
      <c r="AJ199" s="254"/>
      <c r="AK199" s="254"/>
      <c r="AL199" s="254"/>
      <c r="AM199" s="254"/>
    </row>
    <row r="200" spans="1:39">
      <c r="A200" s="45"/>
      <c r="O200" s="333"/>
      <c r="R200" s="254"/>
      <c r="S200" s="254"/>
      <c r="T200" s="254"/>
      <c r="U200" s="254"/>
      <c r="V200" s="254"/>
      <c r="W200" s="254"/>
      <c r="X200" s="254"/>
      <c r="Y200" s="254"/>
      <c r="Z200" s="254"/>
      <c r="AA200" s="254"/>
      <c r="AB200" s="254"/>
      <c r="AC200" s="254"/>
      <c r="AD200" s="254"/>
      <c r="AE200" s="254"/>
      <c r="AF200" s="254"/>
      <c r="AG200" s="254"/>
      <c r="AH200" s="254"/>
      <c r="AI200" s="254"/>
      <c r="AJ200" s="254"/>
      <c r="AK200" s="254"/>
      <c r="AL200" s="254"/>
      <c r="AM200" s="254"/>
    </row>
    <row r="201" spans="1:39">
      <c r="A201" s="45"/>
      <c r="O201" s="333"/>
      <c r="R201" s="254"/>
      <c r="S201" s="254"/>
      <c r="T201" s="254"/>
      <c r="U201" s="254"/>
      <c r="V201" s="254"/>
      <c r="W201" s="254"/>
      <c r="X201" s="254"/>
      <c r="Y201" s="254"/>
      <c r="Z201" s="254"/>
      <c r="AA201" s="254"/>
      <c r="AB201" s="254"/>
      <c r="AC201" s="254"/>
      <c r="AD201" s="254"/>
      <c r="AE201" s="254"/>
      <c r="AF201" s="254"/>
      <c r="AG201" s="254"/>
      <c r="AH201" s="254"/>
      <c r="AI201" s="254"/>
      <c r="AJ201" s="254"/>
      <c r="AK201" s="254"/>
      <c r="AL201" s="254"/>
      <c r="AM201" s="254"/>
    </row>
    <row r="202" spans="1:39">
      <c r="A202" s="45"/>
      <c r="O202" s="333"/>
      <c r="R202" s="254"/>
      <c r="S202" s="254"/>
      <c r="T202" s="254"/>
      <c r="U202" s="254"/>
      <c r="V202" s="254"/>
      <c r="W202" s="254"/>
      <c r="X202" s="254"/>
      <c r="Y202" s="254"/>
      <c r="Z202" s="254"/>
      <c r="AA202" s="254"/>
      <c r="AB202" s="254"/>
      <c r="AC202" s="254"/>
      <c r="AD202" s="254"/>
      <c r="AE202" s="254"/>
      <c r="AF202" s="254"/>
      <c r="AG202" s="254"/>
      <c r="AH202" s="254"/>
      <c r="AI202" s="254"/>
      <c r="AJ202" s="254"/>
      <c r="AK202" s="254"/>
      <c r="AL202" s="254"/>
      <c r="AM202" s="254"/>
    </row>
    <row r="203" spans="1:39">
      <c r="A203" s="45"/>
      <c r="O203" s="333"/>
      <c r="R203" s="254"/>
      <c r="S203" s="254"/>
      <c r="T203" s="254"/>
      <c r="U203" s="254"/>
      <c r="V203" s="254"/>
      <c r="W203" s="254"/>
      <c r="X203" s="254"/>
      <c r="Y203" s="254"/>
      <c r="Z203" s="254"/>
      <c r="AA203" s="254"/>
      <c r="AB203" s="254"/>
      <c r="AC203" s="254"/>
      <c r="AD203" s="254"/>
      <c r="AE203" s="254"/>
      <c r="AF203" s="254"/>
      <c r="AG203" s="254"/>
      <c r="AH203" s="254"/>
      <c r="AI203" s="254"/>
      <c r="AJ203" s="254"/>
      <c r="AK203" s="254"/>
      <c r="AL203" s="254"/>
      <c r="AM203" s="254"/>
    </row>
    <row r="204" spans="1:39">
      <c r="A204" s="45"/>
      <c r="O204" s="333"/>
      <c r="R204" s="254"/>
      <c r="S204" s="254"/>
      <c r="T204" s="254"/>
      <c r="U204" s="254"/>
      <c r="V204" s="254"/>
      <c r="W204" s="254"/>
      <c r="X204" s="254"/>
      <c r="Y204" s="254"/>
      <c r="Z204" s="254"/>
      <c r="AA204" s="254"/>
      <c r="AB204" s="254"/>
      <c r="AC204" s="254"/>
      <c r="AD204" s="254"/>
      <c r="AE204" s="254"/>
      <c r="AF204" s="254"/>
      <c r="AG204" s="254"/>
      <c r="AH204" s="254"/>
      <c r="AI204" s="254"/>
      <c r="AJ204" s="254"/>
      <c r="AK204" s="254"/>
      <c r="AL204" s="254"/>
      <c r="AM204" s="254"/>
    </row>
    <row r="205" spans="1:39">
      <c r="A205" s="45"/>
      <c r="O205" s="333"/>
      <c r="R205" s="254"/>
      <c r="S205" s="254"/>
      <c r="T205" s="254"/>
      <c r="U205" s="254"/>
      <c r="V205" s="254"/>
      <c r="W205" s="254"/>
      <c r="X205" s="254"/>
      <c r="Y205" s="254"/>
      <c r="Z205" s="254"/>
      <c r="AA205" s="254"/>
      <c r="AB205" s="254"/>
      <c r="AC205" s="254"/>
      <c r="AD205" s="254"/>
      <c r="AE205" s="254"/>
      <c r="AF205" s="254"/>
      <c r="AG205" s="254"/>
      <c r="AH205" s="254"/>
      <c r="AI205" s="254"/>
      <c r="AJ205" s="254"/>
      <c r="AK205" s="254"/>
      <c r="AL205" s="254"/>
      <c r="AM205" s="254"/>
    </row>
    <row r="206" spans="1:39">
      <c r="A206" s="45"/>
      <c r="R206" s="254"/>
      <c r="S206" s="254"/>
      <c r="T206" s="254"/>
      <c r="U206" s="254"/>
      <c r="V206" s="254"/>
      <c r="W206" s="254"/>
      <c r="X206" s="254"/>
      <c r="Y206" s="254"/>
      <c r="Z206" s="254"/>
      <c r="AA206" s="254"/>
      <c r="AB206" s="254"/>
      <c r="AC206" s="254"/>
      <c r="AD206" s="254"/>
      <c r="AE206" s="254"/>
      <c r="AF206" s="254"/>
      <c r="AG206" s="254"/>
      <c r="AH206" s="254"/>
      <c r="AI206" s="254"/>
      <c r="AJ206" s="254"/>
      <c r="AK206" s="254"/>
      <c r="AL206" s="254"/>
      <c r="AM206" s="254"/>
    </row>
    <row r="207" spans="1:39">
      <c r="A207" s="45"/>
      <c r="R207" s="254"/>
      <c r="S207" s="254"/>
      <c r="T207" s="254"/>
      <c r="U207" s="254"/>
      <c r="V207" s="254"/>
      <c r="W207" s="254"/>
      <c r="X207" s="254"/>
      <c r="Y207" s="254"/>
      <c r="Z207" s="254"/>
      <c r="AA207" s="254"/>
      <c r="AB207" s="254"/>
      <c r="AC207" s="254"/>
      <c r="AD207" s="254"/>
      <c r="AE207" s="254"/>
      <c r="AF207" s="254"/>
      <c r="AG207" s="254"/>
      <c r="AH207" s="254"/>
      <c r="AI207" s="254"/>
      <c r="AJ207" s="254"/>
      <c r="AK207" s="254"/>
      <c r="AL207" s="254"/>
      <c r="AM207" s="254"/>
    </row>
    <row r="208" spans="1:39">
      <c r="A208" s="45"/>
      <c r="R208" s="254"/>
      <c r="S208" s="254"/>
      <c r="T208" s="254"/>
      <c r="U208" s="254"/>
      <c r="V208" s="254"/>
      <c r="W208" s="254"/>
      <c r="X208" s="254"/>
      <c r="Y208" s="254"/>
      <c r="Z208" s="254"/>
      <c r="AA208" s="254"/>
      <c r="AB208" s="254"/>
      <c r="AC208" s="254"/>
      <c r="AD208" s="254"/>
      <c r="AE208" s="254"/>
      <c r="AF208" s="254"/>
      <c r="AG208" s="254"/>
      <c r="AH208" s="254"/>
      <c r="AI208" s="254"/>
      <c r="AJ208" s="254"/>
      <c r="AK208" s="254"/>
      <c r="AL208" s="254"/>
      <c r="AM208" s="254"/>
    </row>
    <row r="209" spans="1:39">
      <c r="A209" s="45"/>
      <c r="R209" s="254"/>
      <c r="S209" s="254"/>
      <c r="T209" s="254"/>
      <c r="U209" s="254"/>
      <c r="V209" s="254"/>
      <c r="W209" s="254"/>
      <c r="X209" s="254"/>
      <c r="Y209" s="254"/>
      <c r="Z209" s="254"/>
      <c r="AA209" s="254"/>
      <c r="AB209" s="254"/>
      <c r="AC209" s="254"/>
      <c r="AD209" s="254"/>
      <c r="AE209" s="254"/>
      <c r="AF209" s="254"/>
      <c r="AG209" s="254"/>
      <c r="AH209" s="254"/>
      <c r="AI209" s="254"/>
      <c r="AJ209" s="254"/>
      <c r="AK209" s="254"/>
      <c r="AL209" s="254"/>
      <c r="AM209" s="254"/>
    </row>
    <row r="210" spans="1:39">
      <c r="A210" s="45"/>
      <c r="R210" s="254"/>
      <c r="S210" s="254"/>
      <c r="T210" s="254"/>
      <c r="U210" s="254"/>
      <c r="V210" s="254"/>
      <c r="W210" s="254"/>
      <c r="X210" s="254"/>
      <c r="Y210" s="254"/>
      <c r="Z210" s="254"/>
      <c r="AA210" s="254"/>
      <c r="AB210" s="254"/>
      <c r="AC210" s="254"/>
      <c r="AD210" s="254"/>
      <c r="AE210" s="254"/>
      <c r="AF210" s="254"/>
      <c r="AG210" s="254"/>
      <c r="AH210" s="254"/>
      <c r="AI210" s="254"/>
      <c r="AJ210" s="254"/>
      <c r="AK210" s="254"/>
      <c r="AL210" s="254"/>
      <c r="AM210" s="254"/>
    </row>
    <row r="211" spans="1:39">
      <c r="A211" s="45"/>
      <c r="R211" s="254"/>
      <c r="S211" s="254"/>
      <c r="T211" s="254"/>
      <c r="U211" s="254"/>
      <c r="V211" s="254"/>
      <c r="W211" s="254"/>
      <c r="X211" s="254"/>
      <c r="Y211" s="254"/>
      <c r="Z211" s="254"/>
      <c r="AA211" s="254"/>
      <c r="AB211" s="254"/>
      <c r="AC211" s="254"/>
      <c r="AD211" s="254"/>
      <c r="AE211" s="254"/>
      <c r="AF211" s="254"/>
      <c r="AG211" s="254"/>
      <c r="AH211" s="254"/>
      <c r="AI211" s="254"/>
      <c r="AJ211" s="254"/>
      <c r="AK211" s="254"/>
      <c r="AL211" s="254"/>
      <c r="AM211" s="254"/>
    </row>
    <row r="212" spans="1:39">
      <c r="A212" s="45"/>
      <c r="R212" s="254"/>
      <c r="S212" s="254"/>
      <c r="T212" s="254"/>
      <c r="U212" s="254"/>
      <c r="V212" s="254"/>
      <c r="W212" s="254"/>
      <c r="X212" s="254"/>
      <c r="Y212" s="254"/>
      <c r="Z212" s="254"/>
      <c r="AA212" s="254"/>
      <c r="AB212" s="254"/>
      <c r="AC212" s="254"/>
      <c r="AD212" s="254"/>
      <c r="AE212" s="254"/>
      <c r="AF212" s="254"/>
      <c r="AG212" s="254"/>
      <c r="AH212" s="254"/>
      <c r="AI212" s="254"/>
      <c r="AJ212" s="254"/>
      <c r="AK212" s="254"/>
      <c r="AL212" s="254"/>
      <c r="AM212" s="254"/>
    </row>
    <row r="213" spans="1:39">
      <c r="A213" s="45"/>
      <c r="R213" s="254"/>
      <c r="S213" s="254"/>
      <c r="T213" s="254"/>
      <c r="U213" s="254"/>
      <c r="V213" s="254"/>
      <c r="W213" s="254"/>
      <c r="X213" s="254"/>
      <c r="Y213" s="254"/>
      <c r="Z213" s="254"/>
      <c r="AA213" s="254"/>
      <c r="AB213" s="254"/>
      <c r="AC213" s="254"/>
      <c r="AD213" s="254"/>
      <c r="AE213" s="254"/>
      <c r="AF213" s="254"/>
      <c r="AG213" s="254"/>
      <c r="AH213" s="254"/>
      <c r="AI213" s="254"/>
      <c r="AJ213" s="254"/>
      <c r="AK213" s="254"/>
      <c r="AL213" s="254"/>
      <c r="AM213" s="254"/>
    </row>
    <row r="214" spans="1:39">
      <c r="A214" s="45"/>
      <c r="R214" s="254"/>
      <c r="S214" s="254"/>
      <c r="T214" s="254"/>
      <c r="U214" s="254"/>
      <c r="V214" s="254"/>
      <c r="W214" s="254"/>
      <c r="X214" s="254"/>
      <c r="Y214" s="254"/>
      <c r="Z214" s="254"/>
      <c r="AA214" s="254"/>
      <c r="AB214" s="254"/>
      <c r="AC214" s="254"/>
      <c r="AD214" s="254"/>
      <c r="AE214" s="254"/>
      <c r="AF214" s="254"/>
      <c r="AG214" s="254"/>
      <c r="AH214" s="254"/>
      <c r="AI214" s="254"/>
      <c r="AJ214" s="254"/>
      <c r="AK214" s="254"/>
      <c r="AL214" s="254"/>
      <c r="AM214" s="254"/>
    </row>
    <row r="215" spans="1:39">
      <c r="A215" s="45"/>
      <c r="R215" s="254"/>
      <c r="S215" s="254"/>
      <c r="T215" s="254"/>
      <c r="U215" s="254"/>
      <c r="V215" s="254"/>
      <c r="W215" s="254"/>
      <c r="X215" s="254"/>
      <c r="Y215" s="254"/>
      <c r="Z215" s="254"/>
      <c r="AA215" s="254"/>
      <c r="AB215" s="254"/>
      <c r="AC215" s="254"/>
      <c r="AD215" s="254"/>
      <c r="AE215" s="254"/>
      <c r="AF215" s="254"/>
      <c r="AG215" s="254"/>
      <c r="AH215" s="254"/>
      <c r="AI215" s="254"/>
      <c r="AJ215" s="254"/>
      <c r="AK215" s="254"/>
      <c r="AL215" s="254"/>
      <c r="AM215" s="254"/>
    </row>
    <row r="216" spans="1:39">
      <c r="A216" s="45"/>
      <c r="R216" s="254"/>
      <c r="S216" s="254"/>
      <c r="T216" s="254"/>
      <c r="U216" s="254"/>
      <c r="V216" s="254"/>
      <c r="W216" s="254"/>
      <c r="X216" s="254"/>
      <c r="Y216" s="254"/>
      <c r="Z216" s="254"/>
      <c r="AA216" s="254"/>
      <c r="AB216" s="254"/>
      <c r="AC216" s="254"/>
      <c r="AD216" s="254"/>
      <c r="AE216" s="254"/>
      <c r="AF216" s="254"/>
      <c r="AG216" s="254"/>
      <c r="AH216" s="254"/>
      <c r="AI216" s="254"/>
      <c r="AJ216" s="254"/>
      <c r="AK216" s="254"/>
      <c r="AL216" s="254"/>
      <c r="AM216" s="254"/>
    </row>
    <row r="217" spans="1:39">
      <c r="A217" s="45"/>
      <c r="R217" s="254"/>
      <c r="S217" s="254"/>
      <c r="T217" s="254"/>
      <c r="U217" s="254"/>
      <c r="V217" s="254"/>
      <c r="W217" s="254"/>
      <c r="X217" s="254"/>
      <c r="Y217" s="254"/>
      <c r="Z217" s="254"/>
      <c r="AA217" s="254"/>
      <c r="AB217" s="254"/>
      <c r="AC217" s="254"/>
      <c r="AD217" s="254"/>
      <c r="AE217" s="254"/>
      <c r="AF217" s="254"/>
      <c r="AG217" s="254"/>
      <c r="AH217" s="254"/>
      <c r="AI217" s="254"/>
      <c r="AJ217" s="254"/>
      <c r="AK217" s="254"/>
      <c r="AL217" s="254"/>
      <c r="AM217" s="254"/>
    </row>
    <row r="218" spans="1:39">
      <c r="A218" s="45"/>
      <c r="R218" s="254"/>
      <c r="S218" s="254"/>
      <c r="T218" s="254"/>
      <c r="U218" s="254"/>
      <c r="V218" s="254"/>
      <c r="W218" s="254"/>
      <c r="X218" s="254"/>
      <c r="Y218" s="254"/>
      <c r="Z218" s="254"/>
      <c r="AA218" s="254"/>
      <c r="AB218" s="254"/>
      <c r="AC218" s="254"/>
      <c r="AD218" s="254"/>
      <c r="AE218" s="254"/>
      <c r="AF218" s="254"/>
      <c r="AG218" s="254"/>
      <c r="AH218" s="254"/>
      <c r="AI218" s="254"/>
      <c r="AJ218" s="254"/>
      <c r="AK218" s="254"/>
      <c r="AL218" s="254"/>
      <c r="AM218" s="254"/>
    </row>
    <row r="219" spans="1:39" s="332" customFormat="1">
      <c r="A219" s="45"/>
      <c r="C219" s="155"/>
      <c r="D219" s="155"/>
      <c r="E219" s="155"/>
      <c r="F219" s="155"/>
      <c r="G219" s="155"/>
      <c r="H219" s="155"/>
      <c r="I219" s="155"/>
      <c r="J219" s="337"/>
      <c r="K219" s="337"/>
      <c r="L219" s="337"/>
      <c r="M219" s="337"/>
      <c r="N219" s="337"/>
      <c r="O219" s="337"/>
      <c r="P219" s="337"/>
      <c r="Q219" s="337"/>
      <c r="R219" s="254"/>
      <c r="S219" s="254"/>
      <c r="T219" s="254"/>
      <c r="U219" s="254"/>
      <c r="V219" s="254"/>
      <c r="W219" s="254"/>
      <c r="X219" s="254"/>
      <c r="Y219" s="254"/>
      <c r="Z219" s="254"/>
      <c r="AA219" s="254"/>
      <c r="AB219" s="254"/>
      <c r="AC219" s="254"/>
      <c r="AD219" s="254"/>
      <c r="AE219" s="254"/>
      <c r="AF219" s="254"/>
      <c r="AG219" s="254"/>
      <c r="AH219" s="254"/>
      <c r="AI219" s="254"/>
      <c r="AJ219" s="254"/>
      <c r="AK219" s="254"/>
      <c r="AL219" s="254"/>
      <c r="AM219" s="254"/>
    </row>
    <row r="220" spans="1:39" s="332" customFormat="1">
      <c r="A220" s="45"/>
      <c r="C220" s="155"/>
      <c r="D220" s="155"/>
      <c r="E220" s="155"/>
      <c r="F220" s="155"/>
      <c r="G220" s="155"/>
      <c r="H220" s="155"/>
      <c r="I220" s="155"/>
      <c r="J220" s="337"/>
      <c r="K220" s="337"/>
      <c r="L220" s="337"/>
      <c r="M220" s="337"/>
      <c r="N220" s="337"/>
      <c r="O220" s="337"/>
      <c r="P220" s="337"/>
      <c r="Q220" s="337"/>
      <c r="R220" s="254"/>
      <c r="S220" s="254"/>
      <c r="T220" s="254"/>
      <c r="U220" s="254"/>
      <c r="V220" s="254"/>
      <c r="W220" s="254"/>
      <c r="X220" s="254"/>
      <c r="Y220" s="254"/>
      <c r="Z220" s="254"/>
      <c r="AA220" s="254"/>
      <c r="AB220" s="254"/>
      <c r="AC220" s="254"/>
      <c r="AD220" s="254"/>
      <c r="AE220" s="254"/>
      <c r="AF220" s="254"/>
      <c r="AG220" s="254"/>
      <c r="AH220" s="254"/>
      <c r="AI220" s="254"/>
      <c r="AJ220" s="254"/>
      <c r="AK220" s="254"/>
      <c r="AL220" s="254"/>
      <c r="AM220" s="254"/>
    </row>
    <row r="221" spans="1:39" s="332" customFormat="1">
      <c r="A221" s="45"/>
      <c r="C221" s="155"/>
      <c r="D221" s="155"/>
      <c r="E221" s="155"/>
      <c r="F221" s="155"/>
      <c r="G221" s="155"/>
      <c r="H221" s="155"/>
      <c r="I221" s="155"/>
      <c r="J221" s="337"/>
      <c r="K221" s="337"/>
      <c r="L221" s="337"/>
      <c r="M221" s="337"/>
      <c r="N221" s="337"/>
      <c r="O221" s="337"/>
      <c r="P221" s="337"/>
      <c r="Q221" s="337"/>
      <c r="R221" s="254"/>
      <c r="S221" s="254"/>
      <c r="T221" s="254"/>
      <c r="U221" s="254"/>
      <c r="V221" s="254"/>
      <c r="W221" s="254"/>
      <c r="X221" s="254"/>
      <c r="Y221" s="254"/>
      <c r="Z221" s="254"/>
      <c r="AA221" s="254"/>
      <c r="AB221" s="254"/>
      <c r="AC221" s="254"/>
      <c r="AD221" s="254"/>
      <c r="AE221" s="254"/>
      <c r="AF221" s="254"/>
      <c r="AG221" s="254"/>
      <c r="AH221" s="254"/>
      <c r="AI221" s="254"/>
      <c r="AJ221" s="254"/>
      <c r="AK221" s="254"/>
      <c r="AL221" s="254"/>
      <c r="AM221" s="254"/>
    </row>
    <row r="222" spans="1:39" s="332" customFormat="1">
      <c r="A222" s="45"/>
      <c r="C222" s="155"/>
      <c r="D222" s="155"/>
      <c r="E222" s="155"/>
      <c r="F222" s="155"/>
      <c r="G222" s="155"/>
      <c r="H222" s="155"/>
      <c r="I222" s="155"/>
      <c r="J222" s="337"/>
      <c r="K222" s="337"/>
      <c r="L222" s="337"/>
      <c r="M222" s="337"/>
      <c r="N222" s="337"/>
      <c r="O222" s="337"/>
      <c r="P222" s="337"/>
      <c r="Q222" s="337"/>
      <c r="R222" s="254"/>
      <c r="S222" s="254"/>
      <c r="T222" s="254"/>
      <c r="U222" s="254"/>
      <c r="V222" s="254"/>
      <c r="W222" s="254"/>
      <c r="X222" s="254"/>
      <c r="Y222" s="254"/>
      <c r="Z222" s="254"/>
      <c r="AA222" s="254"/>
      <c r="AB222" s="254"/>
      <c r="AC222" s="254"/>
      <c r="AD222" s="254"/>
      <c r="AE222" s="254"/>
      <c r="AF222" s="254"/>
      <c r="AG222" s="254"/>
      <c r="AH222" s="254"/>
      <c r="AI222" s="254"/>
      <c r="AJ222" s="254"/>
      <c r="AK222" s="254"/>
      <c r="AL222" s="254"/>
      <c r="AM222" s="254"/>
    </row>
    <row r="223" spans="1:39" s="332" customFormat="1">
      <c r="A223" s="45"/>
      <c r="C223" s="155"/>
      <c r="D223" s="155"/>
      <c r="E223" s="155"/>
      <c r="F223" s="155"/>
      <c r="G223" s="155"/>
      <c r="H223" s="155"/>
      <c r="I223" s="155"/>
      <c r="J223" s="337"/>
      <c r="K223" s="337"/>
      <c r="L223" s="337"/>
      <c r="M223" s="337"/>
      <c r="N223" s="337"/>
      <c r="O223" s="337"/>
      <c r="P223" s="337"/>
      <c r="Q223" s="337"/>
      <c r="R223" s="254"/>
      <c r="S223" s="254"/>
      <c r="T223" s="254"/>
      <c r="U223" s="254"/>
      <c r="V223" s="254"/>
      <c r="W223" s="254"/>
      <c r="X223" s="254"/>
      <c r="Y223" s="254"/>
      <c r="Z223" s="254"/>
      <c r="AA223" s="254"/>
      <c r="AB223" s="254"/>
      <c r="AC223" s="254"/>
      <c r="AD223" s="254"/>
      <c r="AE223" s="254"/>
      <c r="AF223" s="254"/>
      <c r="AG223" s="254"/>
      <c r="AH223" s="254"/>
      <c r="AI223" s="254"/>
      <c r="AJ223" s="254"/>
      <c r="AK223" s="254"/>
      <c r="AL223" s="254"/>
      <c r="AM223" s="254"/>
    </row>
    <row r="224" spans="1:39" s="332" customFormat="1">
      <c r="A224" s="45"/>
      <c r="C224" s="155"/>
      <c r="D224" s="155"/>
      <c r="E224" s="155"/>
      <c r="F224" s="155"/>
      <c r="G224" s="155"/>
      <c r="H224" s="155"/>
      <c r="I224" s="155"/>
      <c r="J224" s="337"/>
      <c r="K224" s="337"/>
      <c r="L224" s="337"/>
      <c r="M224" s="337"/>
      <c r="N224" s="337"/>
      <c r="O224" s="337"/>
      <c r="P224" s="337"/>
      <c r="Q224" s="337"/>
      <c r="R224" s="254"/>
      <c r="S224" s="254"/>
      <c r="T224" s="254"/>
      <c r="U224" s="254"/>
      <c r="V224" s="254"/>
      <c r="W224" s="254"/>
      <c r="X224" s="254"/>
      <c r="Y224" s="254"/>
      <c r="Z224" s="254"/>
      <c r="AA224" s="254"/>
      <c r="AB224" s="254"/>
      <c r="AC224" s="254"/>
      <c r="AD224" s="254"/>
      <c r="AE224" s="254"/>
      <c r="AF224" s="254"/>
      <c r="AG224" s="254"/>
      <c r="AH224" s="254"/>
      <c r="AI224" s="254"/>
      <c r="AJ224" s="254"/>
      <c r="AK224" s="254"/>
      <c r="AL224" s="254"/>
      <c r="AM224" s="254"/>
    </row>
    <row r="225" spans="1:39" s="332" customFormat="1">
      <c r="A225" s="45"/>
      <c r="C225" s="155"/>
      <c r="D225" s="155"/>
      <c r="E225" s="155"/>
      <c r="F225" s="155"/>
      <c r="G225" s="155"/>
      <c r="H225" s="155"/>
      <c r="I225" s="155"/>
      <c r="J225" s="337"/>
      <c r="K225" s="337"/>
      <c r="L225" s="337"/>
      <c r="M225" s="337"/>
      <c r="N225" s="337"/>
      <c r="O225" s="337"/>
      <c r="P225" s="337"/>
      <c r="Q225" s="337"/>
      <c r="R225" s="254"/>
      <c r="S225" s="254"/>
      <c r="T225" s="254"/>
      <c r="U225" s="254"/>
      <c r="V225" s="254"/>
      <c r="W225" s="254"/>
      <c r="X225" s="254"/>
      <c r="Y225" s="254"/>
      <c r="Z225" s="254"/>
      <c r="AA225" s="254"/>
      <c r="AB225" s="254"/>
      <c r="AC225" s="254"/>
      <c r="AD225" s="254"/>
      <c r="AE225" s="254"/>
      <c r="AF225" s="254"/>
      <c r="AG225" s="254"/>
      <c r="AH225" s="254"/>
      <c r="AI225" s="254"/>
      <c r="AJ225" s="254"/>
      <c r="AK225" s="254"/>
      <c r="AL225" s="254"/>
      <c r="AM225" s="254"/>
    </row>
    <row r="226" spans="1:39" s="332" customFormat="1">
      <c r="A226" s="45"/>
      <c r="C226" s="155"/>
      <c r="D226" s="155"/>
      <c r="E226" s="155"/>
      <c r="F226" s="155"/>
      <c r="G226" s="155"/>
      <c r="H226" s="155"/>
      <c r="I226" s="155"/>
      <c r="J226" s="337"/>
      <c r="K226" s="337"/>
      <c r="L226" s="337"/>
      <c r="M226" s="337"/>
      <c r="N226" s="337"/>
      <c r="O226" s="337"/>
      <c r="P226" s="337"/>
      <c r="Q226" s="337"/>
      <c r="R226" s="254"/>
      <c r="S226" s="254"/>
      <c r="T226" s="254"/>
      <c r="U226" s="254"/>
      <c r="V226" s="254"/>
      <c r="W226" s="254"/>
      <c r="X226" s="254"/>
      <c r="Y226" s="254"/>
      <c r="Z226" s="254"/>
      <c r="AA226" s="254"/>
      <c r="AB226" s="254"/>
      <c r="AC226" s="254"/>
      <c r="AD226" s="254"/>
      <c r="AE226" s="254"/>
      <c r="AF226" s="254"/>
      <c r="AG226" s="254"/>
      <c r="AH226" s="254"/>
      <c r="AI226" s="254"/>
      <c r="AJ226" s="254"/>
      <c r="AK226" s="254"/>
      <c r="AL226" s="254"/>
      <c r="AM226" s="254"/>
    </row>
    <row r="227" spans="1:39" s="332" customFormat="1">
      <c r="A227" s="45"/>
      <c r="C227" s="155"/>
      <c r="D227" s="155"/>
      <c r="E227" s="155"/>
      <c r="F227" s="155"/>
      <c r="G227" s="155"/>
      <c r="H227" s="155"/>
      <c r="I227" s="155"/>
      <c r="J227" s="337"/>
      <c r="K227" s="337"/>
      <c r="L227" s="337"/>
      <c r="M227" s="337"/>
      <c r="N227" s="337"/>
      <c r="O227" s="337"/>
      <c r="P227" s="337"/>
      <c r="Q227" s="337"/>
      <c r="R227" s="254"/>
      <c r="S227" s="254"/>
      <c r="T227" s="254"/>
      <c r="U227" s="254"/>
      <c r="V227" s="254"/>
      <c r="W227" s="254"/>
      <c r="X227" s="254"/>
      <c r="Y227" s="254"/>
      <c r="Z227" s="254"/>
      <c r="AA227" s="254"/>
      <c r="AB227" s="254"/>
      <c r="AC227" s="254"/>
      <c r="AD227" s="254"/>
      <c r="AE227" s="254"/>
      <c r="AF227" s="254"/>
      <c r="AG227" s="254"/>
      <c r="AH227" s="254"/>
      <c r="AI227" s="254"/>
      <c r="AJ227" s="254"/>
      <c r="AK227" s="254"/>
      <c r="AL227" s="254"/>
      <c r="AM227" s="254"/>
    </row>
    <row r="228" spans="1:39" s="332" customFormat="1">
      <c r="A228" s="45"/>
      <c r="C228" s="155"/>
      <c r="D228" s="155"/>
      <c r="E228" s="155"/>
      <c r="F228" s="155"/>
      <c r="G228" s="155"/>
      <c r="H228" s="155"/>
      <c r="I228" s="155"/>
      <c r="J228" s="337"/>
      <c r="K228" s="337"/>
      <c r="L228" s="337"/>
      <c r="M228" s="337"/>
      <c r="N228" s="337"/>
      <c r="O228" s="337"/>
      <c r="P228" s="337"/>
      <c r="Q228" s="337"/>
      <c r="R228" s="254"/>
      <c r="S228" s="254"/>
      <c r="T228" s="254"/>
      <c r="U228" s="254"/>
      <c r="V228" s="254"/>
      <c r="W228" s="254"/>
      <c r="X228" s="254"/>
      <c r="Y228" s="254"/>
      <c r="Z228" s="254"/>
      <c r="AA228" s="254"/>
      <c r="AB228" s="254"/>
      <c r="AC228" s="254"/>
      <c r="AD228" s="254"/>
      <c r="AE228" s="254"/>
      <c r="AF228" s="254"/>
      <c r="AG228" s="254"/>
      <c r="AH228" s="254"/>
      <c r="AI228" s="254"/>
      <c r="AJ228" s="254"/>
      <c r="AK228" s="254"/>
      <c r="AL228" s="254"/>
      <c r="AM228" s="254"/>
    </row>
    <row r="229" spans="1:39" s="332" customFormat="1">
      <c r="A229" s="45"/>
      <c r="C229" s="155"/>
      <c r="D229" s="155"/>
      <c r="E229" s="155"/>
      <c r="F229" s="155"/>
      <c r="G229" s="155"/>
      <c r="H229" s="155"/>
      <c r="I229" s="155"/>
      <c r="J229" s="337"/>
      <c r="K229" s="337"/>
      <c r="L229" s="337"/>
      <c r="M229" s="337"/>
      <c r="N229" s="337"/>
      <c r="O229" s="337"/>
      <c r="P229" s="337"/>
      <c r="Q229" s="337"/>
      <c r="R229" s="254"/>
      <c r="S229" s="254"/>
      <c r="T229" s="254"/>
      <c r="U229" s="254"/>
      <c r="V229" s="254"/>
      <c r="W229" s="254"/>
      <c r="X229" s="254"/>
      <c r="Y229" s="254"/>
      <c r="Z229" s="254"/>
      <c r="AA229" s="254"/>
      <c r="AB229" s="254"/>
      <c r="AC229" s="254"/>
      <c r="AD229" s="254"/>
      <c r="AE229" s="254"/>
      <c r="AF229" s="254"/>
      <c r="AG229" s="254"/>
      <c r="AH229" s="254"/>
      <c r="AI229" s="254"/>
      <c r="AJ229" s="254"/>
      <c r="AK229" s="254"/>
      <c r="AL229" s="254"/>
      <c r="AM229" s="254"/>
    </row>
    <row r="230" spans="1:39" s="332" customFormat="1">
      <c r="A230" s="45"/>
      <c r="C230" s="155"/>
      <c r="D230" s="155"/>
      <c r="E230" s="155"/>
      <c r="F230" s="155"/>
      <c r="G230" s="155"/>
      <c r="H230" s="155"/>
      <c r="I230" s="155"/>
      <c r="J230" s="337"/>
      <c r="K230" s="337"/>
      <c r="L230" s="337"/>
      <c r="M230" s="337"/>
      <c r="N230" s="337"/>
      <c r="O230" s="337"/>
      <c r="P230" s="337"/>
      <c r="Q230" s="337"/>
      <c r="R230" s="254"/>
      <c r="S230" s="254"/>
      <c r="T230" s="254"/>
      <c r="U230" s="254"/>
      <c r="V230" s="254"/>
      <c r="W230" s="254"/>
      <c r="X230" s="254"/>
      <c r="Y230" s="254"/>
      <c r="Z230" s="254"/>
      <c r="AA230" s="254"/>
      <c r="AB230" s="254"/>
      <c r="AC230" s="254"/>
      <c r="AD230" s="254"/>
      <c r="AE230" s="254"/>
      <c r="AF230" s="254"/>
      <c r="AG230" s="254"/>
      <c r="AH230" s="254"/>
      <c r="AI230" s="254"/>
      <c r="AJ230" s="254"/>
      <c r="AK230" s="254"/>
      <c r="AL230" s="254"/>
      <c r="AM230" s="254"/>
    </row>
    <row r="231" spans="1:39" s="332" customFormat="1">
      <c r="A231" s="45"/>
      <c r="C231" s="155"/>
      <c r="D231" s="155"/>
      <c r="E231" s="155"/>
      <c r="F231" s="155"/>
      <c r="G231" s="155"/>
      <c r="H231" s="155"/>
      <c r="I231" s="155"/>
      <c r="J231" s="337"/>
      <c r="K231" s="337"/>
      <c r="L231" s="337"/>
      <c r="M231" s="337"/>
      <c r="N231" s="337"/>
      <c r="O231" s="337"/>
      <c r="P231" s="337"/>
      <c r="Q231" s="337"/>
      <c r="R231" s="254"/>
      <c r="S231" s="254"/>
      <c r="T231" s="254"/>
      <c r="U231" s="254"/>
      <c r="V231" s="254"/>
      <c r="W231" s="254"/>
      <c r="X231" s="254"/>
      <c r="Y231" s="254"/>
      <c r="Z231" s="254"/>
      <c r="AA231" s="254"/>
      <c r="AB231" s="254"/>
      <c r="AC231" s="254"/>
      <c r="AD231" s="254"/>
      <c r="AE231" s="254"/>
      <c r="AF231" s="254"/>
      <c r="AG231" s="254"/>
      <c r="AH231" s="254"/>
      <c r="AI231" s="254"/>
      <c r="AJ231" s="254"/>
      <c r="AK231" s="254"/>
      <c r="AL231" s="254"/>
      <c r="AM231" s="254"/>
    </row>
    <row r="232" spans="1:39" s="332" customFormat="1">
      <c r="A232" s="45"/>
      <c r="C232" s="155"/>
      <c r="D232" s="155"/>
      <c r="E232" s="155"/>
      <c r="F232" s="155"/>
      <c r="G232" s="155"/>
      <c r="H232" s="155"/>
      <c r="I232" s="155"/>
      <c r="J232" s="337"/>
      <c r="K232" s="337"/>
      <c r="L232" s="337"/>
      <c r="M232" s="337"/>
      <c r="N232" s="337"/>
      <c r="O232" s="337"/>
      <c r="P232" s="337"/>
      <c r="Q232" s="337"/>
      <c r="R232" s="254"/>
      <c r="S232" s="254"/>
      <c r="T232" s="254"/>
      <c r="U232" s="254"/>
      <c r="V232" s="254"/>
      <c r="W232" s="254"/>
      <c r="X232" s="254"/>
      <c r="Y232" s="254"/>
      <c r="Z232" s="254"/>
      <c r="AA232" s="254"/>
      <c r="AB232" s="254"/>
      <c r="AC232" s="254"/>
      <c r="AD232" s="254"/>
      <c r="AE232" s="254"/>
      <c r="AF232" s="254"/>
      <c r="AG232" s="254"/>
      <c r="AH232" s="254"/>
      <c r="AI232" s="254"/>
      <c r="AJ232" s="254"/>
      <c r="AK232" s="254"/>
      <c r="AL232" s="254"/>
      <c r="AM232" s="254"/>
    </row>
    <row r="233" spans="1:39" s="332" customFormat="1">
      <c r="A233" s="45"/>
      <c r="C233" s="155"/>
      <c r="D233" s="155"/>
      <c r="E233" s="155"/>
      <c r="F233" s="155"/>
      <c r="G233" s="155"/>
      <c r="H233" s="155"/>
      <c r="I233" s="155"/>
      <c r="J233" s="337"/>
      <c r="K233" s="337"/>
      <c r="L233" s="337"/>
      <c r="M233" s="337"/>
      <c r="N233" s="337"/>
      <c r="O233" s="337"/>
      <c r="P233" s="337"/>
      <c r="Q233" s="337"/>
      <c r="R233" s="254"/>
      <c r="S233" s="254"/>
      <c r="T233" s="254"/>
      <c r="U233" s="254"/>
      <c r="V233" s="254"/>
      <c r="W233" s="254"/>
      <c r="X233" s="254"/>
      <c r="Y233" s="254"/>
      <c r="Z233" s="254"/>
      <c r="AA233" s="254"/>
      <c r="AB233" s="254"/>
      <c r="AC233" s="254"/>
      <c r="AD233" s="254"/>
      <c r="AE233" s="254"/>
      <c r="AF233" s="254"/>
      <c r="AG233" s="254"/>
      <c r="AH233" s="254"/>
      <c r="AI233" s="254"/>
      <c r="AJ233" s="254"/>
      <c r="AK233" s="254"/>
      <c r="AL233" s="254"/>
      <c r="AM233" s="254"/>
    </row>
    <row r="234" spans="1:39" s="332" customFormat="1">
      <c r="A234" s="45"/>
      <c r="C234" s="155"/>
      <c r="D234" s="155"/>
      <c r="E234" s="155"/>
      <c r="F234" s="155"/>
      <c r="G234" s="155"/>
      <c r="H234" s="155"/>
      <c r="I234" s="155"/>
      <c r="J234" s="337"/>
      <c r="K234" s="337"/>
      <c r="L234" s="337"/>
      <c r="M234" s="337"/>
      <c r="N234" s="337"/>
      <c r="O234" s="337"/>
      <c r="P234" s="337"/>
      <c r="Q234" s="337"/>
      <c r="R234" s="254"/>
      <c r="S234" s="254"/>
      <c r="T234" s="254"/>
      <c r="U234" s="254"/>
      <c r="V234" s="254"/>
      <c r="W234" s="254"/>
      <c r="X234" s="254"/>
      <c r="Y234" s="254"/>
      <c r="Z234" s="254"/>
      <c r="AA234" s="254"/>
      <c r="AB234" s="254"/>
      <c r="AC234" s="254"/>
      <c r="AD234" s="254"/>
      <c r="AE234" s="254"/>
      <c r="AF234" s="254"/>
      <c r="AG234" s="254"/>
      <c r="AH234" s="254"/>
      <c r="AI234" s="254"/>
      <c r="AJ234" s="254"/>
      <c r="AK234" s="254"/>
      <c r="AL234" s="254"/>
      <c r="AM234" s="254"/>
    </row>
    <row r="235" spans="1:39" s="332" customFormat="1">
      <c r="A235" s="45"/>
      <c r="C235" s="155"/>
      <c r="D235" s="155"/>
      <c r="E235" s="155"/>
      <c r="F235" s="155"/>
      <c r="G235" s="155"/>
      <c r="H235" s="155"/>
      <c r="I235" s="155"/>
      <c r="J235" s="337"/>
      <c r="K235" s="337"/>
      <c r="L235" s="337"/>
      <c r="M235" s="337"/>
      <c r="N235" s="337"/>
      <c r="O235" s="337"/>
      <c r="P235" s="337"/>
      <c r="Q235" s="337"/>
      <c r="R235" s="254"/>
      <c r="S235" s="254"/>
      <c r="T235" s="254"/>
      <c r="U235" s="254"/>
      <c r="V235" s="254"/>
      <c r="W235" s="254"/>
      <c r="X235" s="254"/>
      <c r="Y235" s="254"/>
      <c r="Z235" s="254"/>
      <c r="AA235" s="254"/>
      <c r="AB235" s="254"/>
      <c r="AC235" s="254"/>
      <c r="AD235" s="254"/>
      <c r="AE235" s="254"/>
      <c r="AF235" s="254"/>
      <c r="AG235" s="254"/>
      <c r="AH235" s="254"/>
      <c r="AI235" s="254"/>
      <c r="AJ235" s="254"/>
      <c r="AK235" s="254"/>
      <c r="AL235" s="254"/>
      <c r="AM235" s="254"/>
    </row>
    <row r="236" spans="1:39" s="332" customFormat="1">
      <c r="A236" s="45"/>
      <c r="C236" s="155"/>
      <c r="D236" s="155"/>
      <c r="E236" s="155"/>
      <c r="F236" s="155"/>
      <c r="G236" s="155"/>
      <c r="H236" s="155"/>
      <c r="I236" s="155"/>
      <c r="J236" s="337"/>
      <c r="K236" s="337"/>
      <c r="L236" s="337"/>
      <c r="M236" s="337"/>
      <c r="N236" s="337"/>
      <c r="O236" s="337"/>
      <c r="P236" s="337"/>
      <c r="Q236" s="337"/>
      <c r="R236" s="254"/>
      <c r="S236" s="254"/>
      <c r="T236" s="254"/>
      <c r="U236" s="254"/>
      <c r="V236" s="254"/>
      <c r="W236" s="254"/>
      <c r="X236" s="254"/>
      <c r="Y236" s="254"/>
      <c r="Z236" s="254"/>
      <c r="AA236" s="254"/>
      <c r="AB236" s="254"/>
      <c r="AC236" s="254"/>
      <c r="AD236" s="254"/>
      <c r="AE236" s="254"/>
      <c r="AF236" s="254"/>
      <c r="AG236" s="254"/>
      <c r="AH236" s="254"/>
      <c r="AI236" s="254"/>
      <c r="AJ236" s="254"/>
      <c r="AK236" s="254"/>
      <c r="AL236" s="254"/>
      <c r="AM236" s="254"/>
    </row>
    <row r="237" spans="1:39" s="332" customFormat="1">
      <c r="A237" s="45"/>
      <c r="C237" s="155"/>
      <c r="D237" s="155"/>
      <c r="E237" s="155"/>
      <c r="F237" s="155"/>
      <c r="G237" s="155"/>
      <c r="H237" s="155"/>
      <c r="I237" s="155"/>
      <c r="J237" s="337"/>
      <c r="K237" s="337"/>
      <c r="L237" s="337"/>
      <c r="M237" s="337"/>
      <c r="N237" s="337"/>
      <c r="O237" s="337"/>
      <c r="P237" s="337"/>
      <c r="Q237" s="337"/>
      <c r="R237" s="254"/>
      <c r="S237" s="254"/>
      <c r="T237" s="254"/>
      <c r="U237" s="254"/>
      <c r="V237" s="254"/>
      <c r="W237" s="254"/>
      <c r="X237" s="254"/>
      <c r="Y237" s="254"/>
      <c r="Z237" s="254"/>
      <c r="AA237" s="254"/>
      <c r="AB237" s="254"/>
      <c r="AC237" s="254"/>
      <c r="AD237" s="254"/>
      <c r="AE237" s="254"/>
      <c r="AF237" s="254"/>
      <c r="AG237" s="254"/>
      <c r="AH237" s="254"/>
      <c r="AI237" s="254"/>
      <c r="AJ237" s="254"/>
      <c r="AK237" s="254"/>
      <c r="AL237" s="254"/>
      <c r="AM237" s="254"/>
    </row>
    <row r="238" spans="1:39" s="332" customFormat="1">
      <c r="A238" s="45"/>
      <c r="C238" s="155"/>
      <c r="D238" s="155"/>
      <c r="E238" s="155"/>
      <c r="F238" s="155"/>
      <c r="G238" s="155"/>
      <c r="H238" s="155"/>
      <c r="I238" s="155"/>
      <c r="J238" s="337"/>
      <c r="K238" s="337"/>
      <c r="L238" s="337"/>
      <c r="M238" s="337"/>
      <c r="N238" s="337"/>
      <c r="O238" s="337"/>
      <c r="P238" s="337"/>
      <c r="Q238" s="337"/>
      <c r="R238" s="254"/>
      <c r="S238" s="254"/>
      <c r="T238" s="254"/>
      <c r="U238" s="254"/>
      <c r="V238" s="254"/>
      <c r="W238" s="254"/>
      <c r="X238" s="254"/>
      <c r="Y238" s="254"/>
      <c r="Z238" s="254"/>
      <c r="AA238" s="254"/>
      <c r="AB238" s="254"/>
      <c r="AC238" s="254"/>
      <c r="AD238" s="254"/>
      <c r="AE238" s="254"/>
      <c r="AF238" s="254"/>
      <c r="AG238" s="254"/>
      <c r="AH238" s="254"/>
      <c r="AI238" s="254"/>
      <c r="AJ238" s="254"/>
      <c r="AK238" s="254"/>
      <c r="AL238" s="254"/>
      <c r="AM238" s="254"/>
    </row>
    <row r="239" spans="1:39" s="332" customFormat="1">
      <c r="A239" s="45"/>
      <c r="C239" s="155"/>
      <c r="D239" s="155"/>
      <c r="E239" s="155"/>
      <c r="F239" s="155"/>
      <c r="G239" s="155"/>
      <c r="H239" s="155"/>
      <c r="I239" s="155"/>
      <c r="J239" s="337"/>
      <c r="K239" s="337"/>
      <c r="L239" s="337"/>
      <c r="M239" s="337"/>
      <c r="N239" s="337"/>
      <c r="O239" s="337"/>
      <c r="P239" s="337"/>
      <c r="Q239" s="337"/>
      <c r="R239" s="254"/>
      <c r="S239" s="254"/>
      <c r="T239" s="254"/>
      <c r="U239" s="254"/>
      <c r="V239" s="254"/>
      <c r="W239" s="254"/>
      <c r="X239" s="254"/>
      <c r="Y239" s="254"/>
      <c r="Z239" s="254"/>
      <c r="AA239" s="254"/>
      <c r="AB239" s="254"/>
      <c r="AC239" s="254"/>
      <c r="AD239" s="254"/>
      <c r="AE239" s="254"/>
      <c r="AF239" s="254"/>
      <c r="AG239" s="254"/>
      <c r="AH239" s="254"/>
      <c r="AI239" s="254"/>
      <c r="AJ239" s="254"/>
      <c r="AK239" s="254"/>
      <c r="AL239" s="254"/>
      <c r="AM239" s="254"/>
    </row>
    <row r="240" spans="1:39" s="332" customFormat="1">
      <c r="A240" s="45"/>
      <c r="C240" s="155"/>
      <c r="D240" s="155"/>
      <c r="E240" s="155"/>
      <c r="F240" s="155"/>
      <c r="G240" s="155"/>
      <c r="H240" s="155"/>
      <c r="I240" s="155"/>
      <c r="J240" s="337"/>
      <c r="K240" s="337"/>
      <c r="L240" s="337"/>
      <c r="M240" s="337"/>
      <c r="N240" s="337"/>
      <c r="O240" s="337"/>
      <c r="P240" s="337"/>
      <c r="Q240" s="337"/>
      <c r="R240" s="254"/>
      <c r="S240" s="254"/>
      <c r="T240" s="254"/>
      <c r="U240" s="254"/>
      <c r="V240" s="254"/>
      <c r="W240" s="254"/>
      <c r="X240" s="254"/>
      <c r="Y240" s="254"/>
      <c r="Z240" s="254"/>
      <c r="AA240" s="254"/>
      <c r="AB240" s="254"/>
      <c r="AC240" s="254"/>
      <c r="AD240" s="254"/>
      <c r="AE240" s="254"/>
      <c r="AF240" s="254"/>
      <c r="AG240" s="254"/>
      <c r="AH240" s="254"/>
      <c r="AI240" s="254"/>
      <c r="AJ240" s="254"/>
      <c r="AK240" s="254"/>
      <c r="AL240" s="254"/>
      <c r="AM240" s="254"/>
    </row>
    <row r="241" spans="1:39" s="332" customFormat="1">
      <c r="A241" s="45"/>
      <c r="C241" s="155"/>
      <c r="D241" s="155"/>
      <c r="E241" s="155"/>
      <c r="F241" s="155"/>
      <c r="G241" s="155"/>
      <c r="H241" s="155"/>
      <c r="I241" s="155"/>
      <c r="J241" s="337"/>
      <c r="K241" s="337"/>
      <c r="L241" s="337"/>
      <c r="M241" s="337"/>
      <c r="N241" s="337"/>
      <c r="O241" s="337"/>
      <c r="P241" s="337"/>
      <c r="Q241" s="337"/>
      <c r="R241" s="254"/>
      <c r="S241" s="254"/>
      <c r="T241" s="254"/>
      <c r="U241" s="254"/>
      <c r="V241" s="254"/>
      <c r="W241" s="254"/>
      <c r="X241" s="254"/>
      <c r="Y241" s="254"/>
      <c r="Z241" s="254"/>
      <c r="AA241" s="254"/>
      <c r="AB241" s="254"/>
      <c r="AC241" s="254"/>
      <c r="AD241" s="254"/>
      <c r="AE241" s="254"/>
      <c r="AF241" s="254"/>
      <c r="AG241" s="254"/>
      <c r="AH241" s="254"/>
      <c r="AI241" s="254"/>
      <c r="AJ241" s="254"/>
      <c r="AK241" s="254"/>
      <c r="AL241" s="254"/>
      <c r="AM241" s="254"/>
    </row>
    <row r="242" spans="1:39" s="332" customFormat="1">
      <c r="A242" s="45"/>
      <c r="C242" s="155"/>
      <c r="D242" s="155"/>
      <c r="E242" s="155"/>
      <c r="F242" s="155"/>
      <c r="G242" s="155"/>
      <c r="H242" s="155"/>
      <c r="I242" s="155"/>
      <c r="J242" s="337"/>
      <c r="K242" s="337"/>
      <c r="L242" s="337"/>
      <c r="M242" s="337"/>
      <c r="N242" s="337"/>
      <c r="O242" s="337"/>
      <c r="P242" s="337"/>
      <c r="Q242" s="337"/>
      <c r="R242" s="254"/>
      <c r="S242" s="254"/>
      <c r="T242" s="254"/>
      <c r="U242" s="254"/>
      <c r="V242" s="254"/>
      <c r="W242" s="254"/>
      <c r="X242" s="254"/>
      <c r="Y242" s="254"/>
      <c r="Z242" s="254"/>
      <c r="AA242" s="254"/>
      <c r="AB242" s="254"/>
      <c r="AC242" s="254"/>
      <c r="AD242" s="254"/>
      <c r="AE242" s="254"/>
      <c r="AF242" s="254"/>
      <c r="AG242" s="254"/>
      <c r="AH242" s="254"/>
      <c r="AI242" s="254"/>
      <c r="AJ242" s="254"/>
      <c r="AK242" s="254"/>
      <c r="AL242" s="254"/>
      <c r="AM242" s="254"/>
    </row>
    <row r="243" spans="1:39" s="332" customFormat="1">
      <c r="A243" s="45"/>
      <c r="C243" s="155"/>
      <c r="D243" s="155"/>
      <c r="E243" s="155"/>
      <c r="F243" s="155"/>
      <c r="G243" s="155"/>
      <c r="H243" s="155"/>
      <c r="I243" s="155"/>
      <c r="J243" s="337"/>
      <c r="K243" s="337"/>
      <c r="L243" s="337"/>
      <c r="M243" s="337"/>
      <c r="N243" s="337"/>
      <c r="O243" s="337"/>
      <c r="P243" s="337"/>
      <c r="Q243" s="337"/>
      <c r="R243" s="254"/>
      <c r="S243" s="254"/>
      <c r="T243" s="254"/>
      <c r="U243" s="254"/>
      <c r="V243" s="254"/>
      <c r="W243" s="254"/>
      <c r="X243" s="254"/>
      <c r="Y243" s="254"/>
      <c r="Z243" s="254"/>
      <c r="AA243" s="254"/>
      <c r="AB243" s="254"/>
      <c r="AC243" s="254"/>
      <c r="AD243" s="254"/>
      <c r="AE243" s="254"/>
      <c r="AF243" s="254"/>
      <c r="AG243" s="254"/>
      <c r="AH243" s="254"/>
      <c r="AI243" s="254"/>
      <c r="AJ243" s="254"/>
      <c r="AK243" s="254"/>
      <c r="AL243" s="254"/>
      <c r="AM243" s="254"/>
    </row>
    <row r="244" spans="1:39" s="332" customFormat="1">
      <c r="A244" s="45"/>
      <c r="C244" s="155"/>
      <c r="D244" s="155"/>
      <c r="E244" s="155"/>
      <c r="F244" s="155"/>
      <c r="G244" s="155"/>
      <c r="H244" s="155"/>
      <c r="I244" s="155"/>
      <c r="J244" s="337"/>
      <c r="K244" s="337"/>
      <c r="L244" s="337"/>
      <c r="M244" s="337"/>
      <c r="N244" s="337"/>
      <c r="O244" s="337"/>
      <c r="P244" s="337"/>
      <c r="Q244" s="337"/>
      <c r="R244" s="254"/>
      <c r="S244" s="254"/>
      <c r="T244" s="254"/>
      <c r="U244" s="254"/>
      <c r="V244" s="254"/>
      <c r="W244" s="254"/>
      <c r="X244" s="254"/>
      <c r="Y244" s="254"/>
      <c r="Z244" s="254"/>
      <c r="AA244" s="254"/>
      <c r="AB244" s="254"/>
      <c r="AC244" s="254"/>
      <c r="AD244" s="254"/>
      <c r="AE244" s="254"/>
      <c r="AF244" s="254"/>
      <c r="AG244" s="254"/>
      <c r="AH244" s="254"/>
      <c r="AI244" s="254"/>
      <c r="AJ244" s="254"/>
      <c r="AK244" s="254"/>
      <c r="AL244" s="254"/>
      <c r="AM244" s="254"/>
    </row>
    <row r="245" spans="1:39" s="332" customFormat="1">
      <c r="A245" s="45"/>
      <c r="C245" s="155"/>
      <c r="D245" s="155"/>
      <c r="E245" s="155"/>
      <c r="F245" s="155"/>
      <c r="G245" s="155"/>
      <c r="H245" s="155"/>
      <c r="I245" s="155"/>
      <c r="J245" s="337"/>
      <c r="K245" s="337"/>
      <c r="L245" s="337"/>
      <c r="M245" s="337"/>
      <c r="N245" s="337"/>
      <c r="O245" s="337"/>
      <c r="P245" s="337"/>
      <c r="Q245" s="337"/>
      <c r="R245" s="254"/>
      <c r="S245" s="254"/>
      <c r="T245" s="254"/>
      <c r="U245" s="254"/>
      <c r="V245" s="254"/>
      <c r="W245" s="254"/>
      <c r="X245" s="254"/>
      <c r="Y245" s="254"/>
      <c r="Z245" s="254"/>
      <c r="AA245" s="254"/>
      <c r="AB245" s="254"/>
      <c r="AC245" s="254"/>
      <c r="AD245" s="254"/>
      <c r="AE245" s="254"/>
      <c r="AF245" s="254"/>
      <c r="AG245" s="254"/>
      <c r="AH245" s="254"/>
      <c r="AI245" s="254"/>
      <c r="AJ245" s="254"/>
      <c r="AK245" s="254"/>
      <c r="AL245" s="254"/>
      <c r="AM245" s="254"/>
    </row>
    <row r="246" spans="1:39" s="332" customFormat="1">
      <c r="A246" s="45"/>
      <c r="C246" s="155"/>
      <c r="D246" s="155"/>
      <c r="E246" s="155"/>
      <c r="F246" s="155"/>
      <c r="G246" s="155"/>
      <c r="H246" s="155"/>
      <c r="I246" s="155"/>
      <c r="J246" s="337"/>
      <c r="K246" s="337"/>
      <c r="L246" s="337"/>
      <c r="M246" s="337"/>
      <c r="N246" s="337"/>
      <c r="O246" s="337"/>
      <c r="P246" s="337"/>
      <c r="Q246" s="337"/>
      <c r="R246" s="254"/>
      <c r="S246" s="254"/>
      <c r="T246" s="254"/>
      <c r="U246" s="254"/>
      <c r="V246" s="254"/>
      <c r="W246" s="254"/>
      <c r="X246" s="254"/>
      <c r="Y246" s="254"/>
      <c r="Z246" s="254"/>
      <c r="AA246" s="254"/>
      <c r="AB246" s="254"/>
      <c r="AC246" s="254"/>
      <c r="AD246" s="254"/>
      <c r="AE246" s="254"/>
      <c r="AF246" s="254"/>
      <c r="AG246" s="254"/>
      <c r="AH246" s="254"/>
      <c r="AI246" s="254"/>
      <c r="AJ246" s="254"/>
      <c r="AK246" s="254"/>
      <c r="AL246" s="254"/>
      <c r="AM246" s="254"/>
    </row>
    <row r="247" spans="1:39" s="332" customFormat="1">
      <c r="A247" s="45"/>
      <c r="C247" s="155"/>
      <c r="D247" s="155"/>
      <c r="E247" s="155"/>
      <c r="F247" s="155"/>
      <c r="G247" s="155"/>
      <c r="H247" s="155"/>
      <c r="I247" s="155"/>
      <c r="J247" s="337"/>
      <c r="K247" s="337"/>
      <c r="L247" s="337"/>
      <c r="M247" s="337"/>
      <c r="N247" s="337"/>
      <c r="O247" s="337"/>
      <c r="P247" s="337"/>
      <c r="Q247" s="337"/>
      <c r="R247" s="254"/>
      <c r="S247" s="254"/>
      <c r="T247" s="254"/>
      <c r="U247" s="254"/>
      <c r="V247" s="254"/>
      <c r="W247" s="254"/>
      <c r="X247" s="254"/>
      <c r="Y247" s="254"/>
      <c r="Z247" s="254"/>
      <c r="AA247" s="254"/>
      <c r="AB247" s="254"/>
      <c r="AC247" s="254"/>
      <c r="AD247" s="254"/>
      <c r="AE247" s="254"/>
      <c r="AF247" s="254"/>
      <c r="AG247" s="254"/>
      <c r="AH247" s="254"/>
      <c r="AI247" s="254"/>
      <c r="AJ247" s="254"/>
      <c r="AK247" s="254"/>
      <c r="AL247" s="254"/>
      <c r="AM247" s="254"/>
    </row>
    <row r="248" spans="1:39" s="332" customFormat="1">
      <c r="A248" s="45"/>
      <c r="C248" s="155"/>
      <c r="D248" s="155"/>
      <c r="E248" s="155"/>
      <c r="F248" s="155"/>
      <c r="G248" s="155"/>
      <c r="H248" s="155"/>
      <c r="I248" s="155"/>
      <c r="J248" s="337"/>
      <c r="K248" s="337"/>
      <c r="L248" s="337"/>
      <c r="M248" s="337"/>
      <c r="N248" s="337"/>
      <c r="O248" s="337"/>
      <c r="P248" s="337"/>
      <c r="Q248" s="337"/>
      <c r="R248" s="254"/>
      <c r="S248" s="254"/>
      <c r="T248" s="254"/>
      <c r="U248" s="254"/>
      <c r="V248" s="254"/>
      <c r="W248" s="254"/>
      <c r="X248" s="254"/>
      <c r="Y248" s="254"/>
      <c r="Z248" s="254"/>
      <c r="AA248" s="254"/>
      <c r="AB248" s="254"/>
      <c r="AC248" s="254"/>
      <c r="AD248" s="254"/>
      <c r="AE248" s="254"/>
      <c r="AF248" s="254"/>
      <c r="AG248" s="254"/>
      <c r="AH248" s="254"/>
      <c r="AI248" s="254"/>
      <c r="AJ248" s="254"/>
      <c r="AK248" s="254"/>
      <c r="AL248" s="254"/>
      <c r="AM248" s="254"/>
    </row>
    <row r="249" spans="1:39" s="332" customFormat="1">
      <c r="A249" s="45"/>
      <c r="C249" s="155"/>
      <c r="D249" s="155"/>
      <c r="E249" s="155"/>
      <c r="F249" s="155"/>
      <c r="G249" s="155"/>
      <c r="H249" s="155"/>
      <c r="I249" s="155"/>
      <c r="J249" s="337"/>
      <c r="K249" s="337"/>
      <c r="L249" s="337"/>
      <c r="M249" s="337"/>
      <c r="N249" s="337"/>
      <c r="O249" s="337"/>
      <c r="P249" s="337"/>
      <c r="Q249" s="337"/>
      <c r="R249" s="254"/>
      <c r="S249" s="254"/>
      <c r="T249" s="254"/>
      <c r="U249" s="254"/>
      <c r="V249" s="254"/>
      <c r="W249" s="254"/>
      <c r="X249" s="254"/>
      <c r="Y249" s="254"/>
      <c r="Z249" s="254"/>
      <c r="AA249" s="254"/>
      <c r="AB249" s="254"/>
      <c r="AC249" s="254"/>
      <c r="AD249" s="254"/>
      <c r="AE249" s="254"/>
      <c r="AF249" s="254"/>
      <c r="AG249" s="254"/>
      <c r="AH249" s="254"/>
      <c r="AI249" s="254"/>
      <c r="AJ249" s="254"/>
      <c r="AK249" s="254"/>
      <c r="AL249" s="254"/>
      <c r="AM249" s="254"/>
    </row>
    <row r="250" spans="1:39" s="332" customFormat="1">
      <c r="A250" s="45"/>
      <c r="C250" s="155"/>
      <c r="D250" s="155"/>
      <c r="E250" s="155"/>
      <c r="F250" s="155"/>
      <c r="G250" s="155"/>
      <c r="H250" s="155"/>
      <c r="I250" s="155"/>
      <c r="J250" s="337"/>
      <c r="K250" s="337"/>
      <c r="L250" s="337"/>
      <c r="M250" s="337"/>
      <c r="N250" s="337"/>
      <c r="O250" s="337"/>
      <c r="P250" s="337"/>
      <c r="Q250" s="337"/>
      <c r="R250" s="254"/>
      <c r="S250" s="254"/>
      <c r="T250" s="254"/>
      <c r="U250" s="254"/>
      <c r="V250" s="254"/>
      <c r="W250" s="254"/>
      <c r="X250" s="254"/>
      <c r="Y250" s="254"/>
      <c r="Z250" s="254"/>
      <c r="AA250" s="254"/>
      <c r="AB250" s="254"/>
      <c r="AC250" s="254"/>
      <c r="AD250" s="254"/>
      <c r="AE250" s="254"/>
      <c r="AF250" s="254"/>
      <c r="AG250" s="254"/>
      <c r="AH250" s="254"/>
      <c r="AI250" s="254"/>
      <c r="AJ250" s="254"/>
      <c r="AK250" s="254"/>
      <c r="AL250" s="254"/>
      <c r="AM250" s="254"/>
    </row>
    <row r="251" spans="1:39" s="332" customFormat="1">
      <c r="A251" s="45"/>
      <c r="C251" s="155"/>
      <c r="D251" s="155"/>
      <c r="E251" s="155"/>
      <c r="F251" s="155"/>
      <c r="G251" s="155"/>
      <c r="H251" s="155"/>
      <c r="I251" s="155"/>
      <c r="J251" s="337"/>
      <c r="K251" s="337"/>
      <c r="L251" s="337"/>
      <c r="M251" s="337"/>
      <c r="N251" s="337"/>
      <c r="O251" s="337"/>
      <c r="P251" s="337"/>
      <c r="Q251" s="337"/>
      <c r="R251" s="254"/>
      <c r="S251" s="254"/>
      <c r="T251" s="254"/>
      <c r="U251" s="254"/>
      <c r="V251" s="254"/>
      <c r="W251" s="254"/>
      <c r="X251" s="254"/>
      <c r="Y251" s="254"/>
      <c r="Z251" s="254"/>
      <c r="AA251" s="254"/>
      <c r="AB251" s="254"/>
      <c r="AC251" s="254"/>
      <c r="AD251" s="254"/>
      <c r="AE251" s="254"/>
      <c r="AF251" s="254"/>
      <c r="AG251" s="254"/>
      <c r="AH251" s="254"/>
      <c r="AI251" s="254"/>
      <c r="AJ251" s="254"/>
      <c r="AK251" s="254"/>
      <c r="AL251" s="254"/>
      <c r="AM251" s="254"/>
    </row>
    <row r="252" spans="1:39" s="332" customFormat="1">
      <c r="A252" s="45"/>
      <c r="C252" s="155"/>
      <c r="D252" s="155"/>
      <c r="E252" s="155"/>
      <c r="F252" s="155"/>
      <c r="G252" s="155"/>
      <c r="H252" s="155"/>
      <c r="I252" s="155"/>
      <c r="J252" s="337"/>
      <c r="K252" s="337"/>
      <c r="L252" s="337"/>
      <c r="M252" s="337"/>
      <c r="N252" s="337"/>
      <c r="O252" s="337"/>
      <c r="P252" s="337"/>
      <c r="Q252" s="337"/>
      <c r="R252" s="254"/>
      <c r="S252" s="254"/>
      <c r="T252" s="254"/>
      <c r="U252" s="254"/>
      <c r="V252" s="254"/>
      <c r="W252" s="254"/>
      <c r="X252" s="254"/>
      <c r="Y252" s="254"/>
      <c r="Z252" s="254"/>
      <c r="AA252" s="254"/>
      <c r="AB252" s="254"/>
      <c r="AC252" s="254"/>
      <c r="AD252" s="254"/>
      <c r="AE252" s="254"/>
      <c r="AF252" s="254"/>
      <c r="AG252" s="254"/>
      <c r="AH252" s="254"/>
      <c r="AI252" s="254"/>
      <c r="AJ252" s="254"/>
      <c r="AK252" s="254"/>
      <c r="AL252" s="254"/>
      <c r="AM252" s="254"/>
    </row>
    <row r="253" spans="1:39" s="332" customFormat="1">
      <c r="A253" s="45"/>
      <c r="C253" s="155"/>
      <c r="D253" s="155"/>
      <c r="E253" s="155"/>
      <c r="F253" s="155"/>
      <c r="G253" s="155"/>
      <c r="H253" s="155"/>
      <c r="I253" s="155"/>
      <c r="J253" s="337"/>
      <c r="K253" s="337"/>
      <c r="L253" s="337"/>
      <c r="M253" s="337"/>
      <c r="N253" s="337"/>
      <c r="O253" s="337"/>
      <c r="P253" s="337"/>
      <c r="Q253" s="337"/>
      <c r="R253" s="254"/>
      <c r="S253" s="254"/>
      <c r="T253" s="254"/>
      <c r="U253" s="254"/>
      <c r="V253" s="254"/>
      <c r="W253" s="254"/>
      <c r="X253" s="254"/>
      <c r="Y253" s="254"/>
      <c r="Z253" s="254"/>
      <c r="AA253" s="254"/>
      <c r="AB253" s="254"/>
      <c r="AC253" s="254"/>
      <c r="AD253" s="254"/>
      <c r="AE253" s="254"/>
      <c r="AF253" s="254"/>
      <c r="AG253" s="254"/>
      <c r="AH253" s="254"/>
      <c r="AI253" s="254"/>
      <c r="AJ253" s="254"/>
      <c r="AK253" s="254"/>
      <c r="AL253" s="254"/>
      <c r="AM253" s="254"/>
    </row>
    <row r="254" spans="1:39" s="332" customFormat="1">
      <c r="A254" s="45"/>
      <c r="C254" s="155"/>
      <c r="D254" s="155"/>
      <c r="E254" s="155"/>
      <c r="F254" s="155"/>
      <c r="G254" s="155"/>
      <c r="H254" s="155"/>
      <c r="I254" s="155"/>
      <c r="J254" s="337"/>
      <c r="K254" s="337"/>
      <c r="L254" s="337"/>
      <c r="M254" s="337"/>
      <c r="N254" s="337"/>
      <c r="O254" s="337"/>
      <c r="P254" s="337"/>
      <c r="Q254" s="337"/>
      <c r="R254" s="254"/>
      <c r="S254" s="254"/>
      <c r="T254" s="254"/>
      <c r="U254" s="254"/>
      <c r="V254" s="254"/>
      <c r="W254" s="254"/>
      <c r="X254" s="254"/>
      <c r="Y254" s="254"/>
      <c r="Z254" s="254"/>
      <c r="AA254" s="254"/>
      <c r="AB254" s="254"/>
      <c r="AC254" s="254"/>
      <c r="AD254" s="254"/>
      <c r="AE254" s="254"/>
      <c r="AF254" s="254"/>
      <c r="AG254" s="254"/>
      <c r="AH254" s="254"/>
      <c r="AI254" s="254"/>
      <c r="AJ254" s="254"/>
      <c r="AK254" s="254"/>
      <c r="AL254" s="254"/>
      <c r="AM254" s="254"/>
    </row>
    <row r="255" spans="1:39" s="332" customFormat="1">
      <c r="A255" s="45"/>
      <c r="C255" s="155"/>
      <c r="D255" s="155"/>
      <c r="E255" s="155"/>
      <c r="F255" s="155"/>
      <c r="G255" s="155"/>
      <c r="H255" s="155"/>
      <c r="I255" s="155"/>
      <c r="J255" s="337"/>
      <c r="K255" s="337"/>
      <c r="L255" s="337"/>
      <c r="M255" s="337"/>
      <c r="N255" s="337"/>
      <c r="O255" s="337"/>
      <c r="P255" s="337"/>
      <c r="Q255" s="337"/>
      <c r="R255" s="254"/>
      <c r="S255" s="254"/>
      <c r="T255" s="254"/>
      <c r="U255" s="254"/>
      <c r="V255" s="254"/>
      <c r="W255" s="254"/>
      <c r="X255" s="254"/>
      <c r="Y255" s="254"/>
      <c r="Z255" s="254"/>
      <c r="AA255" s="254"/>
      <c r="AB255" s="254"/>
      <c r="AC255" s="254"/>
      <c r="AD255" s="254"/>
      <c r="AE255" s="254"/>
      <c r="AF255" s="254"/>
      <c r="AG255" s="254"/>
      <c r="AH255" s="254"/>
      <c r="AI255" s="254"/>
      <c r="AJ255" s="254"/>
      <c r="AK255" s="254"/>
      <c r="AL255" s="254"/>
      <c r="AM255" s="254"/>
    </row>
    <row r="256" spans="1:39" s="332" customFormat="1">
      <c r="A256" s="45"/>
      <c r="C256" s="155"/>
      <c r="D256" s="155"/>
      <c r="E256" s="155"/>
      <c r="F256" s="155"/>
      <c r="G256" s="155"/>
      <c r="H256" s="155"/>
      <c r="I256" s="155"/>
      <c r="J256" s="337"/>
      <c r="K256" s="337"/>
      <c r="L256" s="337"/>
      <c r="M256" s="337"/>
      <c r="N256" s="337"/>
      <c r="O256" s="337"/>
      <c r="P256" s="337"/>
      <c r="Q256" s="337"/>
      <c r="R256" s="254"/>
      <c r="S256" s="254"/>
      <c r="T256" s="254"/>
      <c r="U256" s="254"/>
      <c r="V256" s="254"/>
      <c r="W256" s="254"/>
      <c r="X256" s="254"/>
      <c r="Y256" s="254"/>
      <c r="Z256" s="254"/>
      <c r="AA256" s="254"/>
      <c r="AB256" s="254"/>
      <c r="AC256" s="254"/>
      <c r="AD256" s="254"/>
      <c r="AE256" s="254"/>
      <c r="AF256" s="254"/>
      <c r="AG256" s="254"/>
      <c r="AH256" s="254"/>
      <c r="AI256" s="254"/>
      <c r="AJ256" s="254"/>
      <c r="AK256" s="254"/>
      <c r="AL256" s="254"/>
      <c r="AM256" s="254"/>
    </row>
    <row r="257" spans="1:39" s="332" customFormat="1">
      <c r="A257" s="45"/>
      <c r="C257" s="155"/>
      <c r="D257" s="155"/>
      <c r="E257" s="155"/>
      <c r="F257" s="155"/>
      <c r="G257" s="155"/>
      <c r="H257" s="155"/>
      <c r="I257" s="155"/>
      <c r="J257" s="337"/>
      <c r="K257" s="337"/>
      <c r="L257" s="337"/>
      <c r="M257" s="337"/>
      <c r="N257" s="337"/>
      <c r="O257" s="337"/>
      <c r="P257" s="337"/>
      <c r="Q257" s="337"/>
      <c r="R257" s="254"/>
      <c r="S257" s="254"/>
      <c r="T257" s="254"/>
      <c r="U257" s="254"/>
      <c r="V257" s="254"/>
      <c r="W257" s="254"/>
      <c r="X257" s="254"/>
      <c r="Y257" s="254"/>
      <c r="Z257" s="254"/>
      <c r="AA257" s="254"/>
      <c r="AB257" s="254"/>
      <c r="AC257" s="254"/>
      <c r="AD257" s="254"/>
      <c r="AE257" s="254"/>
      <c r="AF257" s="254"/>
      <c r="AG257" s="254"/>
      <c r="AH257" s="254"/>
      <c r="AI257" s="254"/>
      <c r="AJ257" s="254"/>
      <c r="AK257" s="254"/>
      <c r="AL257" s="254"/>
      <c r="AM257" s="254"/>
    </row>
    <row r="258" spans="1:39" s="332" customFormat="1">
      <c r="A258" s="45"/>
      <c r="C258" s="155"/>
      <c r="D258" s="155"/>
      <c r="E258" s="155"/>
      <c r="F258" s="155"/>
      <c r="G258" s="155"/>
      <c r="H258" s="155"/>
      <c r="I258" s="155"/>
      <c r="J258" s="337"/>
      <c r="K258" s="337"/>
      <c r="L258" s="337"/>
      <c r="M258" s="337"/>
      <c r="N258" s="337"/>
      <c r="O258" s="337"/>
      <c r="P258" s="337"/>
      <c r="Q258" s="337"/>
      <c r="R258" s="254"/>
      <c r="S258" s="254"/>
      <c r="T258" s="254"/>
      <c r="U258" s="254"/>
      <c r="V258" s="254"/>
      <c r="W258" s="254"/>
      <c r="X258" s="254"/>
      <c r="Y258" s="254"/>
      <c r="Z258" s="254"/>
      <c r="AA258" s="254"/>
      <c r="AB258" s="254"/>
      <c r="AC258" s="254"/>
      <c r="AD258" s="254"/>
      <c r="AE258" s="254"/>
      <c r="AF258" s="254"/>
      <c r="AG258" s="254"/>
      <c r="AH258" s="254"/>
      <c r="AI258" s="254"/>
      <c r="AJ258" s="254"/>
      <c r="AK258" s="254"/>
      <c r="AL258" s="254"/>
      <c r="AM258" s="254"/>
    </row>
    <row r="259" spans="1:39" s="332" customFormat="1">
      <c r="A259" s="45"/>
      <c r="C259" s="155"/>
      <c r="D259" s="155"/>
      <c r="E259" s="155"/>
      <c r="F259" s="155"/>
      <c r="G259" s="155"/>
      <c r="H259" s="155"/>
      <c r="I259" s="155"/>
      <c r="J259" s="337"/>
      <c r="K259" s="337"/>
      <c r="L259" s="337"/>
      <c r="M259" s="337"/>
      <c r="N259" s="337"/>
      <c r="O259" s="337"/>
      <c r="P259" s="337"/>
      <c r="Q259" s="337"/>
      <c r="R259" s="254"/>
      <c r="S259" s="254"/>
      <c r="T259" s="254"/>
      <c r="U259" s="254"/>
      <c r="V259" s="254"/>
      <c r="W259" s="254"/>
      <c r="X259" s="254"/>
      <c r="Y259" s="254"/>
      <c r="Z259" s="254"/>
      <c r="AA259" s="254"/>
      <c r="AB259" s="254"/>
      <c r="AC259" s="254"/>
      <c r="AD259" s="254"/>
      <c r="AE259" s="254"/>
      <c r="AF259" s="254"/>
      <c r="AG259" s="254"/>
      <c r="AH259" s="254"/>
      <c r="AI259" s="254"/>
      <c r="AJ259" s="254"/>
      <c r="AK259" s="254"/>
      <c r="AL259" s="254"/>
      <c r="AM259" s="254"/>
    </row>
    <row r="260" spans="1:39" s="332" customFormat="1">
      <c r="A260" s="45"/>
      <c r="C260" s="155"/>
      <c r="D260" s="155"/>
      <c r="E260" s="155"/>
      <c r="F260" s="155"/>
      <c r="G260" s="155"/>
      <c r="H260" s="155"/>
      <c r="I260" s="155"/>
      <c r="J260" s="337"/>
      <c r="K260" s="337"/>
      <c r="L260" s="337"/>
      <c r="M260" s="337"/>
      <c r="N260" s="337"/>
      <c r="O260" s="337"/>
      <c r="P260" s="337"/>
      <c r="Q260" s="337"/>
      <c r="R260" s="254"/>
      <c r="S260" s="254"/>
      <c r="T260" s="254"/>
      <c r="U260" s="254"/>
      <c r="V260" s="254"/>
      <c r="W260" s="254"/>
      <c r="X260" s="254"/>
      <c r="Y260" s="254"/>
      <c r="Z260" s="254"/>
      <c r="AA260" s="254"/>
      <c r="AB260" s="254"/>
      <c r="AC260" s="254"/>
      <c r="AD260" s="254"/>
      <c r="AE260" s="254"/>
      <c r="AF260" s="254"/>
      <c r="AG260" s="254"/>
      <c r="AH260" s="254"/>
      <c r="AI260" s="254"/>
      <c r="AJ260" s="254"/>
      <c r="AK260" s="254"/>
      <c r="AL260" s="254"/>
      <c r="AM260" s="254"/>
    </row>
    <row r="261" spans="1:39" s="332" customFormat="1">
      <c r="A261" s="45"/>
      <c r="C261" s="155"/>
      <c r="D261" s="155"/>
      <c r="E261" s="155"/>
      <c r="F261" s="155"/>
      <c r="G261" s="155"/>
      <c r="H261" s="155"/>
      <c r="I261" s="155"/>
      <c r="J261" s="337"/>
      <c r="K261" s="337"/>
      <c r="L261" s="337"/>
      <c r="M261" s="337"/>
      <c r="N261" s="337"/>
      <c r="O261" s="337"/>
      <c r="P261" s="337"/>
      <c r="Q261" s="337"/>
      <c r="R261" s="254"/>
      <c r="S261" s="254"/>
      <c r="T261" s="254"/>
      <c r="U261" s="254"/>
      <c r="V261" s="254"/>
      <c r="W261" s="254"/>
      <c r="X261" s="254"/>
      <c r="Y261" s="254"/>
      <c r="Z261" s="254"/>
      <c r="AA261" s="254"/>
      <c r="AB261" s="254"/>
      <c r="AC261" s="254"/>
      <c r="AD261" s="254"/>
      <c r="AE261" s="254"/>
      <c r="AF261" s="254"/>
      <c r="AG261" s="254"/>
      <c r="AH261" s="254"/>
      <c r="AI261" s="254"/>
      <c r="AJ261" s="254"/>
      <c r="AK261" s="254"/>
      <c r="AL261" s="254"/>
      <c r="AM261" s="254"/>
    </row>
    <row r="262" spans="1:39" s="332" customFormat="1">
      <c r="A262" s="45"/>
      <c r="C262" s="155"/>
      <c r="D262" s="155"/>
      <c r="E262" s="155"/>
      <c r="F262" s="155"/>
      <c r="G262" s="155"/>
      <c r="H262" s="155"/>
      <c r="I262" s="155"/>
      <c r="J262" s="337"/>
      <c r="K262" s="337"/>
      <c r="L262" s="337"/>
      <c r="M262" s="337"/>
      <c r="N262" s="337"/>
      <c r="O262" s="337"/>
      <c r="P262" s="337"/>
      <c r="Q262" s="337"/>
      <c r="R262" s="254"/>
      <c r="S262" s="254"/>
      <c r="T262" s="254"/>
      <c r="U262" s="254"/>
      <c r="V262" s="254"/>
      <c r="W262" s="254"/>
      <c r="X262" s="254"/>
      <c r="Y262" s="254"/>
      <c r="Z262" s="254"/>
      <c r="AA262" s="254"/>
      <c r="AB262" s="254"/>
      <c r="AC262" s="254"/>
      <c r="AD262" s="254"/>
      <c r="AE262" s="254"/>
      <c r="AF262" s="254"/>
      <c r="AG262" s="254"/>
      <c r="AH262" s="254"/>
      <c r="AI262" s="254"/>
      <c r="AJ262" s="254"/>
      <c r="AK262" s="254"/>
      <c r="AL262" s="254"/>
      <c r="AM262" s="254"/>
    </row>
    <row r="263" spans="1:39" s="332" customFormat="1">
      <c r="A263" s="45"/>
      <c r="C263" s="155"/>
      <c r="D263" s="155"/>
      <c r="E263" s="155"/>
      <c r="F263" s="155"/>
      <c r="G263" s="155"/>
      <c r="H263" s="155"/>
      <c r="I263" s="155"/>
      <c r="J263" s="337"/>
      <c r="K263" s="337"/>
      <c r="L263" s="337"/>
      <c r="M263" s="337"/>
      <c r="N263" s="337"/>
      <c r="O263" s="337"/>
      <c r="P263" s="337"/>
      <c r="Q263" s="337"/>
      <c r="R263" s="254"/>
      <c r="S263" s="254"/>
      <c r="T263" s="254"/>
      <c r="U263" s="254"/>
      <c r="V263" s="254"/>
      <c r="W263" s="254"/>
      <c r="X263" s="254"/>
      <c r="Y263" s="254"/>
      <c r="Z263" s="254"/>
      <c r="AA263" s="254"/>
      <c r="AB263" s="254"/>
      <c r="AC263" s="254"/>
      <c r="AD263" s="254"/>
      <c r="AE263" s="254"/>
      <c r="AF263" s="254"/>
      <c r="AG263" s="254"/>
      <c r="AH263" s="254"/>
      <c r="AI263" s="254"/>
      <c r="AJ263" s="254"/>
      <c r="AK263" s="254"/>
      <c r="AL263" s="254"/>
      <c r="AM263" s="254"/>
    </row>
    <row r="264" spans="1:39" s="332" customFormat="1">
      <c r="A264" s="45"/>
      <c r="C264" s="155"/>
      <c r="D264" s="155"/>
      <c r="E264" s="155"/>
      <c r="F264" s="155"/>
      <c r="G264" s="155"/>
      <c r="H264" s="155"/>
      <c r="I264" s="155"/>
      <c r="J264" s="337"/>
      <c r="K264" s="337"/>
      <c r="L264" s="337"/>
      <c r="M264" s="337"/>
      <c r="N264" s="337"/>
      <c r="O264" s="337"/>
      <c r="P264" s="337"/>
      <c r="Q264" s="337"/>
      <c r="R264" s="254"/>
      <c r="S264" s="254"/>
      <c r="T264" s="254"/>
      <c r="U264" s="254"/>
      <c r="V264" s="254"/>
      <c r="W264" s="254"/>
      <c r="X264" s="254"/>
      <c r="Y264" s="254"/>
      <c r="Z264" s="254"/>
      <c r="AA264" s="254"/>
      <c r="AB264" s="254"/>
      <c r="AC264" s="254"/>
      <c r="AD264" s="254"/>
      <c r="AE264" s="254"/>
      <c r="AF264" s="254"/>
      <c r="AG264" s="254"/>
      <c r="AH264" s="254"/>
      <c r="AI264" s="254"/>
      <c r="AJ264" s="254"/>
      <c r="AK264" s="254"/>
      <c r="AL264" s="254"/>
      <c r="AM264" s="254"/>
    </row>
    <row r="265" spans="1:39" s="332" customFormat="1">
      <c r="A265" s="45"/>
      <c r="C265" s="155"/>
      <c r="D265" s="155"/>
      <c r="E265" s="155"/>
      <c r="F265" s="155"/>
      <c r="G265" s="155"/>
      <c r="H265" s="155"/>
      <c r="I265" s="155"/>
      <c r="J265" s="337"/>
      <c r="K265" s="337"/>
      <c r="L265" s="337"/>
      <c r="M265" s="337"/>
      <c r="N265" s="337"/>
      <c r="O265" s="337"/>
      <c r="P265" s="337"/>
      <c r="Q265" s="337"/>
      <c r="R265" s="254"/>
      <c r="S265" s="254"/>
      <c r="T265" s="254"/>
      <c r="U265" s="254"/>
      <c r="V265" s="254"/>
      <c r="W265" s="254"/>
      <c r="X265" s="254"/>
      <c r="Y265" s="254"/>
      <c r="Z265" s="254"/>
      <c r="AA265" s="254"/>
      <c r="AB265" s="254"/>
      <c r="AC265" s="254"/>
      <c r="AD265" s="254"/>
      <c r="AE265" s="254"/>
      <c r="AF265" s="254"/>
      <c r="AG265" s="254"/>
      <c r="AH265" s="254"/>
      <c r="AI265" s="254"/>
      <c r="AJ265" s="254"/>
      <c r="AK265" s="254"/>
      <c r="AL265" s="254"/>
      <c r="AM265" s="254"/>
    </row>
    <row r="266" spans="1:39" s="332" customFormat="1">
      <c r="A266" s="45"/>
      <c r="C266" s="155"/>
      <c r="D266" s="155"/>
      <c r="E266" s="155"/>
      <c r="F266" s="155"/>
      <c r="G266" s="155"/>
      <c r="H266" s="155"/>
      <c r="I266" s="155"/>
      <c r="J266" s="337"/>
      <c r="K266" s="337"/>
      <c r="L266" s="337"/>
      <c r="M266" s="337"/>
      <c r="N266" s="337"/>
      <c r="O266" s="337"/>
      <c r="P266" s="337"/>
      <c r="Q266" s="337"/>
      <c r="R266" s="254"/>
      <c r="S266" s="254"/>
      <c r="T266" s="254"/>
      <c r="U266" s="254"/>
      <c r="V266" s="254"/>
      <c r="W266" s="254"/>
      <c r="X266" s="254"/>
      <c r="Y266" s="254"/>
      <c r="Z266" s="254"/>
      <c r="AA266" s="254"/>
      <c r="AB266" s="254"/>
      <c r="AC266" s="254"/>
      <c r="AD266" s="254"/>
      <c r="AE266" s="254"/>
      <c r="AF266" s="254"/>
      <c r="AG266" s="254"/>
      <c r="AH266" s="254"/>
      <c r="AI266" s="254"/>
      <c r="AJ266" s="254"/>
      <c r="AK266" s="254"/>
      <c r="AL266" s="254"/>
      <c r="AM266" s="254"/>
    </row>
    <row r="267" spans="1:39" s="332" customFormat="1">
      <c r="A267" s="45"/>
      <c r="C267" s="155"/>
      <c r="D267" s="155"/>
      <c r="E267" s="155"/>
      <c r="F267" s="155"/>
      <c r="G267" s="155"/>
      <c r="H267" s="155"/>
      <c r="I267" s="155"/>
      <c r="J267" s="337"/>
      <c r="K267" s="337"/>
      <c r="L267" s="337"/>
      <c r="M267" s="337"/>
      <c r="N267" s="337"/>
      <c r="O267" s="337"/>
      <c r="P267" s="337"/>
      <c r="Q267" s="337"/>
      <c r="R267" s="254"/>
      <c r="S267" s="254"/>
      <c r="T267" s="254"/>
      <c r="U267" s="254"/>
      <c r="V267" s="254"/>
      <c r="W267" s="254"/>
      <c r="X267" s="254"/>
      <c r="Y267" s="254"/>
      <c r="Z267" s="254"/>
      <c r="AA267" s="254"/>
      <c r="AB267" s="254"/>
      <c r="AC267" s="254"/>
      <c r="AD267" s="254"/>
      <c r="AE267" s="254"/>
      <c r="AF267" s="254"/>
      <c r="AG267" s="254"/>
      <c r="AH267" s="254"/>
      <c r="AI267" s="254"/>
      <c r="AJ267" s="254"/>
      <c r="AK267" s="254"/>
      <c r="AL267" s="254"/>
      <c r="AM267" s="254"/>
    </row>
    <row r="268" spans="1:39" s="332" customFormat="1">
      <c r="A268" s="45"/>
      <c r="C268" s="155"/>
      <c r="D268" s="155"/>
      <c r="E268" s="155"/>
      <c r="F268" s="155"/>
      <c r="G268" s="155"/>
      <c r="H268" s="155"/>
      <c r="I268" s="155"/>
      <c r="J268" s="337"/>
      <c r="K268" s="337"/>
      <c r="L268" s="337"/>
      <c r="M268" s="337"/>
      <c r="N268" s="337"/>
      <c r="O268" s="337"/>
      <c r="P268" s="337"/>
      <c r="Q268" s="337"/>
      <c r="R268" s="254"/>
      <c r="S268" s="254"/>
      <c r="T268" s="254"/>
      <c r="U268" s="254"/>
      <c r="V268" s="254"/>
      <c r="W268" s="254"/>
      <c r="X268" s="254"/>
      <c r="Y268" s="254"/>
      <c r="Z268" s="254"/>
      <c r="AA268" s="254"/>
      <c r="AB268" s="254"/>
      <c r="AC268" s="254"/>
      <c r="AD268" s="254"/>
      <c r="AE268" s="254"/>
      <c r="AF268" s="254"/>
      <c r="AG268" s="254"/>
      <c r="AH268" s="254"/>
      <c r="AI268" s="254"/>
      <c r="AJ268" s="254"/>
      <c r="AK268" s="254"/>
      <c r="AL268" s="254"/>
      <c r="AM268" s="254"/>
    </row>
    <row r="269" spans="1:39" s="332" customFormat="1">
      <c r="A269" s="45"/>
      <c r="C269" s="155"/>
      <c r="D269" s="155"/>
      <c r="E269" s="155"/>
      <c r="F269" s="155"/>
      <c r="G269" s="155"/>
      <c r="H269" s="155"/>
      <c r="I269" s="155"/>
      <c r="J269" s="337"/>
      <c r="K269" s="337"/>
      <c r="L269" s="337"/>
      <c r="M269" s="337"/>
      <c r="N269" s="337"/>
      <c r="O269" s="337"/>
      <c r="P269" s="337"/>
      <c r="Q269" s="337"/>
      <c r="R269" s="254"/>
      <c r="S269" s="254"/>
      <c r="T269" s="254"/>
      <c r="U269" s="254"/>
      <c r="V269" s="254"/>
      <c r="W269" s="254"/>
      <c r="X269" s="254"/>
      <c r="Y269" s="254"/>
      <c r="Z269" s="254"/>
      <c r="AA269" s="254"/>
      <c r="AB269" s="254"/>
      <c r="AC269" s="254"/>
      <c r="AD269" s="254"/>
      <c r="AE269" s="254"/>
      <c r="AF269" s="254"/>
      <c r="AG269" s="254"/>
      <c r="AH269" s="254"/>
      <c r="AI269" s="254"/>
      <c r="AJ269" s="254"/>
      <c r="AK269" s="254"/>
      <c r="AL269" s="254"/>
      <c r="AM269" s="254"/>
    </row>
    <row r="270" spans="1:39" s="332" customFormat="1">
      <c r="A270" s="45"/>
      <c r="C270" s="155"/>
      <c r="D270" s="155"/>
      <c r="E270" s="155"/>
      <c r="F270" s="155"/>
      <c r="G270" s="155"/>
      <c r="H270" s="155"/>
      <c r="I270" s="155"/>
      <c r="J270" s="337"/>
      <c r="K270" s="337"/>
      <c r="L270" s="337"/>
      <c r="M270" s="337"/>
      <c r="N270" s="337"/>
      <c r="O270" s="337"/>
      <c r="P270" s="337"/>
      <c r="Q270" s="337"/>
      <c r="R270" s="254"/>
      <c r="S270" s="254"/>
      <c r="T270" s="254"/>
      <c r="U270" s="254"/>
      <c r="V270" s="254"/>
      <c r="W270" s="254"/>
      <c r="X270" s="254"/>
      <c r="Y270" s="254"/>
      <c r="Z270" s="254"/>
      <c r="AA270" s="254"/>
      <c r="AB270" s="254"/>
      <c r="AC270" s="254"/>
      <c r="AD270" s="254"/>
      <c r="AE270" s="254"/>
      <c r="AF270" s="254"/>
      <c r="AG270" s="254"/>
      <c r="AH270" s="254"/>
      <c r="AI270" s="254"/>
      <c r="AJ270" s="254"/>
      <c r="AK270" s="254"/>
      <c r="AL270" s="254"/>
      <c r="AM270" s="254"/>
    </row>
    <row r="271" spans="1:39" s="332" customFormat="1">
      <c r="A271" s="45"/>
      <c r="C271" s="155"/>
      <c r="D271" s="155"/>
      <c r="E271" s="155"/>
      <c r="F271" s="155"/>
      <c r="G271" s="155"/>
      <c r="H271" s="155"/>
      <c r="I271" s="155"/>
      <c r="J271" s="337"/>
      <c r="K271" s="337"/>
      <c r="L271" s="337"/>
      <c r="M271" s="337"/>
      <c r="N271" s="337"/>
      <c r="O271" s="337"/>
      <c r="P271" s="337"/>
      <c r="Q271" s="337"/>
      <c r="R271" s="254"/>
      <c r="S271" s="254"/>
      <c r="T271" s="254"/>
      <c r="U271" s="254"/>
      <c r="V271" s="254"/>
      <c r="W271" s="254"/>
      <c r="X271" s="254"/>
      <c r="Y271" s="254"/>
      <c r="Z271" s="254"/>
      <c r="AA271" s="254"/>
      <c r="AB271" s="254"/>
      <c r="AC271" s="254"/>
      <c r="AD271" s="254"/>
      <c r="AE271" s="254"/>
      <c r="AF271" s="254"/>
      <c r="AG271" s="254"/>
      <c r="AH271" s="254"/>
      <c r="AI271" s="254"/>
      <c r="AJ271" s="254"/>
      <c r="AK271" s="254"/>
      <c r="AL271" s="254"/>
      <c r="AM271" s="254"/>
    </row>
    <row r="272" spans="1:39" s="332" customFormat="1">
      <c r="A272" s="45"/>
      <c r="C272" s="155"/>
      <c r="D272" s="155"/>
      <c r="E272" s="155"/>
      <c r="F272" s="155"/>
      <c r="G272" s="155"/>
      <c r="H272" s="155"/>
      <c r="I272" s="155"/>
      <c r="J272" s="337"/>
      <c r="K272" s="337"/>
      <c r="L272" s="337"/>
      <c r="M272" s="337"/>
      <c r="N272" s="337"/>
      <c r="O272" s="337"/>
      <c r="P272" s="337"/>
      <c r="Q272" s="337"/>
      <c r="R272" s="254"/>
      <c r="S272" s="254"/>
      <c r="T272" s="254"/>
      <c r="U272" s="254"/>
      <c r="V272" s="254"/>
      <c r="W272" s="254"/>
      <c r="X272" s="254"/>
      <c r="Y272" s="254"/>
      <c r="Z272" s="254"/>
      <c r="AA272" s="254"/>
      <c r="AB272" s="254"/>
      <c r="AC272" s="254"/>
      <c r="AD272" s="254"/>
      <c r="AE272" s="254"/>
      <c r="AF272" s="254"/>
      <c r="AG272" s="254"/>
      <c r="AH272" s="254"/>
      <c r="AI272" s="254"/>
      <c r="AJ272" s="254"/>
      <c r="AK272" s="254"/>
      <c r="AL272" s="254"/>
      <c r="AM272" s="254"/>
    </row>
    <row r="273" spans="1:39" s="332" customFormat="1">
      <c r="A273" s="45"/>
      <c r="C273" s="155"/>
      <c r="D273" s="155"/>
      <c r="E273" s="155"/>
      <c r="F273" s="155"/>
      <c r="G273" s="155"/>
      <c r="H273" s="155"/>
      <c r="I273" s="155"/>
      <c r="J273" s="337"/>
      <c r="K273" s="337"/>
      <c r="L273" s="337"/>
      <c r="M273" s="337"/>
      <c r="N273" s="337"/>
      <c r="O273" s="337"/>
      <c r="P273" s="337"/>
      <c r="Q273" s="337"/>
      <c r="R273" s="254"/>
      <c r="S273" s="254"/>
      <c r="T273" s="254"/>
      <c r="U273" s="254"/>
      <c r="V273" s="254"/>
      <c r="W273" s="254"/>
      <c r="X273" s="254"/>
      <c r="Y273" s="254"/>
      <c r="Z273" s="254"/>
      <c r="AA273" s="254"/>
      <c r="AB273" s="254"/>
      <c r="AC273" s="254"/>
      <c r="AD273" s="254"/>
      <c r="AE273" s="254"/>
      <c r="AF273" s="254"/>
      <c r="AG273" s="254"/>
      <c r="AH273" s="254"/>
      <c r="AI273" s="254"/>
      <c r="AJ273" s="254"/>
      <c r="AK273" s="254"/>
      <c r="AL273" s="254"/>
      <c r="AM273" s="254"/>
    </row>
    <row r="274" spans="1:39" s="332" customFormat="1">
      <c r="A274" s="45"/>
      <c r="C274" s="155"/>
      <c r="D274" s="155"/>
      <c r="E274" s="155"/>
      <c r="F274" s="155"/>
      <c r="G274" s="155"/>
      <c r="H274" s="155"/>
      <c r="I274" s="155"/>
      <c r="J274" s="337"/>
      <c r="K274" s="337"/>
      <c r="L274" s="337"/>
      <c r="M274" s="337"/>
      <c r="N274" s="337"/>
      <c r="O274" s="337"/>
      <c r="P274" s="337"/>
      <c r="Q274" s="337"/>
      <c r="R274" s="254"/>
      <c r="S274" s="254"/>
      <c r="T274" s="254"/>
      <c r="U274" s="254"/>
      <c r="V274" s="254"/>
      <c r="W274" s="254"/>
      <c r="X274" s="254"/>
      <c r="Y274" s="254"/>
      <c r="Z274" s="254"/>
      <c r="AA274" s="254"/>
      <c r="AB274" s="254"/>
      <c r="AC274" s="254"/>
      <c r="AD274" s="254"/>
      <c r="AE274" s="254"/>
      <c r="AF274" s="254"/>
      <c r="AG274" s="254"/>
      <c r="AH274" s="254"/>
      <c r="AI274" s="254"/>
      <c r="AJ274" s="254"/>
      <c r="AK274" s="254"/>
      <c r="AL274" s="254"/>
      <c r="AM274" s="254"/>
    </row>
    <row r="275" spans="1:39" s="332" customFormat="1">
      <c r="A275" s="45"/>
      <c r="C275" s="155"/>
      <c r="D275" s="155"/>
      <c r="E275" s="155"/>
      <c r="F275" s="155"/>
      <c r="G275" s="155"/>
      <c r="H275" s="155"/>
      <c r="I275" s="155"/>
      <c r="J275" s="337"/>
      <c r="K275" s="337"/>
      <c r="L275" s="337"/>
      <c r="M275" s="337"/>
      <c r="N275" s="337"/>
      <c r="O275" s="337"/>
      <c r="P275" s="337"/>
      <c r="Q275" s="337"/>
      <c r="R275" s="254"/>
      <c r="S275" s="254"/>
      <c r="T275" s="254"/>
      <c r="U275" s="254"/>
      <c r="V275" s="254"/>
      <c r="W275" s="254"/>
      <c r="X275" s="254"/>
      <c r="Y275" s="254"/>
      <c r="Z275" s="254"/>
      <c r="AA275" s="254"/>
      <c r="AB275" s="254"/>
      <c r="AC275" s="254"/>
      <c r="AD275" s="254"/>
      <c r="AE275" s="254"/>
      <c r="AF275" s="254"/>
      <c r="AG275" s="254"/>
      <c r="AH275" s="254"/>
      <c r="AI275" s="254"/>
      <c r="AJ275" s="254"/>
      <c r="AK275" s="254"/>
      <c r="AL275" s="254"/>
      <c r="AM275" s="254"/>
    </row>
    <row r="276" spans="1:39" s="332" customFormat="1">
      <c r="A276" s="45"/>
      <c r="C276" s="155"/>
      <c r="D276" s="155"/>
      <c r="E276" s="155"/>
      <c r="F276" s="155"/>
      <c r="G276" s="155"/>
      <c r="H276" s="155"/>
      <c r="I276" s="155"/>
      <c r="J276" s="337"/>
      <c r="K276" s="337"/>
      <c r="L276" s="337"/>
      <c r="M276" s="337"/>
      <c r="N276" s="337"/>
      <c r="O276" s="337"/>
      <c r="P276" s="337"/>
      <c r="Q276" s="337"/>
      <c r="R276" s="254"/>
      <c r="S276" s="254"/>
      <c r="T276" s="254"/>
      <c r="U276" s="254"/>
      <c r="V276" s="254"/>
      <c r="W276" s="254"/>
      <c r="X276" s="254"/>
      <c r="Y276" s="254"/>
      <c r="Z276" s="254"/>
      <c r="AA276" s="254"/>
      <c r="AB276" s="254"/>
      <c r="AC276" s="254"/>
      <c r="AD276" s="254"/>
      <c r="AE276" s="254"/>
      <c r="AF276" s="254"/>
      <c r="AG276" s="254"/>
      <c r="AH276" s="254"/>
      <c r="AI276" s="254"/>
      <c r="AJ276" s="254"/>
      <c r="AK276" s="254"/>
      <c r="AL276" s="254"/>
      <c r="AM276" s="254"/>
    </row>
    <row r="277" spans="1:39" s="332" customFormat="1">
      <c r="A277" s="45"/>
      <c r="C277" s="155"/>
      <c r="D277" s="155"/>
      <c r="E277" s="155"/>
      <c r="F277" s="155"/>
      <c r="G277" s="155"/>
      <c r="H277" s="155"/>
      <c r="I277" s="155"/>
      <c r="J277" s="337"/>
      <c r="K277" s="337"/>
      <c r="L277" s="337"/>
      <c r="M277" s="337"/>
      <c r="N277" s="337"/>
      <c r="O277" s="337"/>
      <c r="P277" s="337"/>
      <c r="Q277" s="337"/>
      <c r="R277" s="254"/>
      <c r="S277" s="254"/>
      <c r="T277" s="254"/>
      <c r="U277" s="254"/>
      <c r="V277" s="254"/>
      <c r="W277" s="254"/>
      <c r="X277" s="254"/>
      <c r="Y277" s="254"/>
      <c r="Z277" s="254"/>
      <c r="AA277" s="254"/>
      <c r="AB277" s="254"/>
      <c r="AC277" s="254"/>
      <c r="AD277" s="254"/>
      <c r="AE277" s="254"/>
      <c r="AF277" s="254"/>
      <c r="AG277" s="254"/>
      <c r="AH277" s="254"/>
      <c r="AI277" s="254"/>
      <c r="AJ277" s="254"/>
      <c r="AK277" s="254"/>
      <c r="AL277" s="254"/>
      <c r="AM277" s="254"/>
    </row>
    <row r="278" spans="1:39" s="332" customFormat="1">
      <c r="A278" s="45"/>
      <c r="C278" s="155"/>
      <c r="D278" s="155"/>
      <c r="E278" s="155"/>
      <c r="F278" s="155"/>
      <c r="G278" s="155"/>
      <c r="H278" s="155"/>
      <c r="I278" s="155"/>
      <c r="J278" s="337"/>
      <c r="K278" s="337"/>
      <c r="L278" s="337"/>
      <c r="M278" s="337"/>
      <c r="N278" s="337"/>
      <c r="O278" s="337"/>
      <c r="P278" s="337"/>
      <c r="Q278" s="337"/>
      <c r="R278" s="254"/>
      <c r="S278" s="254"/>
      <c r="T278" s="254"/>
      <c r="U278" s="254"/>
      <c r="V278" s="254"/>
      <c r="W278" s="254"/>
      <c r="X278" s="254"/>
      <c r="Y278" s="254"/>
      <c r="Z278" s="254"/>
      <c r="AA278" s="254"/>
      <c r="AB278" s="254"/>
      <c r="AC278" s="254"/>
      <c r="AD278" s="254"/>
      <c r="AE278" s="254"/>
      <c r="AF278" s="254"/>
      <c r="AG278" s="254"/>
      <c r="AH278" s="254"/>
      <c r="AI278" s="254"/>
      <c r="AJ278" s="254"/>
      <c r="AK278" s="254"/>
      <c r="AL278" s="254"/>
      <c r="AM278" s="254"/>
    </row>
    <row r="279" spans="1:39" s="332" customFormat="1">
      <c r="A279" s="45"/>
      <c r="C279" s="155"/>
      <c r="D279" s="155"/>
      <c r="E279" s="155"/>
      <c r="F279" s="155"/>
      <c r="G279" s="155"/>
      <c r="H279" s="155"/>
      <c r="I279" s="155"/>
      <c r="J279" s="337"/>
      <c r="K279" s="337"/>
      <c r="L279" s="337"/>
      <c r="M279" s="337"/>
      <c r="N279" s="337"/>
      <c r="O279" s="337"/>
      <c r="P279" s="337"/>
      <c r="Q279" s="337"/>
      <c r="R279" s="254"/>
      <c r="S279" s="254"/>
      <c r="T279" s="254"/>
      <c r="U279" s="254"/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4"/>
      <c r="AF279" s="254"/>
      <c r="AG279" s="254"/>
      <c r="AH279" s="254"/>
      <c r="AI279" s="254"/>
      <c r="AJ279" s="254"/>
      <c r="AK279" s="254"/>
      <c r="AL279" s="254"/>
      <c r="AM279" s="254"/>
    </row>
    <row r="280" spans="1:39" s="332" customFormat="1">
      <c r="A280" s="45"/>
      <c r="C280" s="155"/>
      <c r="D280" s="155"/>
      <c r="E280" s="155"/>
      <c r="F280" s="155"/>
      <c r="G280" s="155"/>
      <c r="H280" s="155"/>
      <c r="I280" s="155"/>
      <c r="J280" s="337"/>
      <c r="K280" s="337"/>
      <c r="L280" s="337"/>
      <c r="M280" s="337"/>
      <c r="N280" s="337"/>
      <c r="O280" s="337"/>
      <c r="P280" s="337"/>
      <c r="Q280" s="337"/>
      <c r="R280" s="254"/>
      <c r="S280" s="254"/>
      <c r="T280" s="254"/>
      <c r="U280" s="254"/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4"/>
      <c r="AF280" s="254"/>
      <c r="AG280" s="254"/>
      <c r="AH280" s="254"/>
      <c r="AI280" s="254"/>
      <c r="AJ280" s="254"/>
      <c r="AK280" s="254"/>
      <c r="AL280" s="254"/>
      <c r="AM280" s="254"/>
    </row>
    <row r="281" spans="1:39" s="332" customFormat="1">
      <c r="A281" s="45"/>
      <c r="C281" s="155"/>
      <c r="D281" s="155"/>
      <c r="E281" s="155"/>
      <c r="F281" s="155"/>
      <c r="G281" s="155"/>
      <c r="H281" s="155"/>
      <c r="I281" s="155"/>
      <c r="J281" s="337"/>
      <c r="K281" s="337"/>
      <c r="L281" s="337"/>
      <c r="M281" s="337"/>
      <c r="N281" s="337"/>
      <c r="O281" s="337"/>
      <c r="P281" s="337"/>
      <c r="Q281" s="337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</row>
    <row r="282" spans="1:39" s="332" customFormat="1">
      <c r="A282" s="45"/>
      <c r="C282" s="155"/>
      <c r="D282" s="155"/>
      <c r="E282" s="155"/>
      <c r="F282" s="155"/>
      <c r="G282" s="155"/>
      <c r="H282" s="155"/>
      <c r="I282" s="155"/>
      <c r="J282" s="337"/>
      <c r="K282" s="337"/>
      <c r="L282" s="337"/>
      <c r="M282" s="337"/>
      <c r="N282" s="337"/>
      <c r="O282" s="337"/>
      <c r="P282" s="337"/>
      <c r="Q282" s="337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</row>
    <row r="283" spans="1:39" s="332" customFormat="1">
      <c r="A283" s="45"/>
      <c r="C283" s="155"/>
      <c r="D283" s="155"/>
      <c r="E283" s="155"/>
      <c r="F283" s="155"/>
      <c r="G283" s="155"/>
      <c r="H283" s="155"/>
      <c r="I283" s="155"/>
      <c r="J283" s="337"/>
      <c r="K283" s="337"/>
      <c r="L283" s="337"/>
      <c r="M283" s="337"/>
      <c r="N283" s="337"/>
      <c r="O283" s="337"/>
      <c r="P283" s="337"/>
      <c r="Q283" s="337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</row>
    <row r="284" spans="1:39" s="332" customFormat="1">
      <c r="A284" s="45"/>
      <c r="C284" s="155"/>
      <c r="D284" s="155"/>
      <c r="E284" s="155"/>
      <c r="F284" s="155"/>
      <c r="G284" s="155"/>
      <c r="H284" s="155"/>
      <c r="I284" s="155"/>
      <c r="J284" s="337"/>
      <c r="K284" s="337"/>
      <c r="L284" s="337"/>
      <c r="M284" s="337"/>
      <c r="N284" s="337"/>
      <c r="O284" s="337"/>
      <c r="P284" s="337"/>
      <c r="Q284" s="337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</row>
    <row r="285" spans="1:39" s="332" customFormat="1">
      <c r="A285" s="45"/>
      <c r="C285" s="155"/>
      <c r="D285" s="155"/>
      <c r="E285" s="155"/>
      <c r="F285" s="155"/>
      <c r="G285" s="155"/>
      <c r="H285" s="155"/>
      <c r="I285" s="155"/>
      <c r="J285" s="337"/>
      <c r="K285" s="337"/>
      <c r="L285" s="337"/>
      <c r="M285" s="337"/>
      <c r="N285" s="337"/>
      <c r="O285" s="337"/>
      <c r="P285" s="337"/>
      <c r="Q285" s="337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</row>
    <row r="286" spans="1:39" s="332" customFormat="1">
      <c r="A286" s="45"/>
      <c r="C286" s="155"/>
      <c r="D286" s="155"/>
      <c r="E286" s="155"/>
      <c r="F286" s="155"/>
      <c r="G286" s="155"/>
      <c r="H286" s="155"/>
      <c r="I286" s="155"/>
      <c r="J286" s="337"/>
      <c r="K286" s="337"/>
      <c r="L286" s="337"/>
      <c r="M286" s="337"/>
      <c r="N286" s="337"/>
      <c r="O286" s="337"/>
      <c r="P286" s="337"/>
      <c r="Q286" s="337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</row>
    <row r="287" spans="1:39" s="332" customFormat="1">
      <c r="A287" s="45"/>
      <c r="C287" s="155"/>
      <c r="D287" s="155"/>
      <c r="E287" s="155"/>
      <c r="F287" s="155"/>
      <c r="G287" s="155"/>
      <c r="H287" s="155"/>
      <c r="I287" s="155"/>
      <c r="J287" s="337"/>
      <c r="K287" s="337"/>
      <c r="L287" s="337"/>
      <c r="M287" s="337"/>
      <c r="N287" s="337"/>
      <c r="O287" s="337"/>
      <c r="P287" s="337"/>
      <c r="Q287" s="337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</row>
    <row r="288" spans="1:39" s="332" customFormat="1">
      <c r="A288" s="45"/>
      <c r="C288" s="155"/>
      <c r="D288" s="155"/>
      <c r="E288" s="155"/>
      <c r="F288" s="155"/>
      <c r="G288" s="155"/>
      <c r="H288" s="155"/>
      <c r="I288" s="155"/>
      <c r="J288" s="337"/>
      <c r="K288" s="337"/>
      <c r="L288" s="337"/>
      <c r="M288" s="337"/>
      <c r="N288" s="337"/>
      <c r="O288" s="337"/>
      <c r="P288" s="337"/>
      <c r="Q288" s="337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</row>
    <row r="289" spans="1:39" s="332" customFormat="1">
      <c r="A289" s="45"/>
      <c r="C289" s="155"/>
      <c r="D289" s="155"/>
      <c r="E289" s="155"/>
      <c r="F289" s="155"/>
      <c r="G289" s="155"/>
      <c r="H289" s="155"/>
      <c r="I289" s="155"/>
      <c r="J289" s="337"/>
      <c r="K289" s="337"/>
      <c r="L289" s="337"/>
      <c r="M289" s="337"/>
      <c r="N289" s="337"/>
      <c r="O289" s="337"/>
      <c r="P289" s="337"/>
      <c r="Q289" s="337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</row>
    <row r="290" spans="1:39" s="332" customFormat="1">
      <c r="A290" s="45"/>
      <c r="C290" s="155"/>
      <c r="D290" s="155"/>
      <c r="E290" s="155"/>
      <c r="F290" s="155"/>
      <c r="G290" s="155"/>
      <c r="H290" s="155"/>
      <c r="I290" s="155"/>
      <c r="J290" s="337"/>
      <c r="K290" s="337"/>
      <c r="L290" s="337"/>
      <c r="M290" s="337"/>
      <c r="N290" s="337"/>
      <c r="O290" s="337"/>
      <c r="P290" s="337"/>
      <c r="Q290" s="337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</row>
    <row r="291" spans="1:39" s="332" customFormat="1">
      <c r="A291" s="45"/>
      <c r="C291" s="155"/>
      <c r="D291" s="155"/>
      <c r="E291" s="155"/>
      <c r="F291" s="155"/>
      <c r="G291" s="155"/>
      <c r="H291" s="155"/>
      <c r="I291" s="155"/>
      <c r="J291" s="337"/>
      <c r="K291" s="337"/>
      <c r="L291" s="337"/>
      <c r="M291" s="337"/>
      <c r="N291" s="337"/>
      <c r="O291" s="337"/>
      <c r="P291" s="337"/>
      <c r="Q291" s="337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</row>
    <row r="292" spans="1:39" s="332" customFormat="1">
      <c r="A292" s="45"/>
      <c r="C292" s="155"/>
      <c r="D292" s="155"/>
      <c r="E292" s="155"/>
      <c r="F292" s="155"/>
      <c r="G292" s="155"/>
      <c r="H292" s="155"/>
      <c r="I292" s="155"/>
      <c r="J292" s="337"/>
      <c r="K292" s="337"/>
      <c r="L292" s="337"/>
      <c r="M292" s="337"/>
      <c r="N292" s="337"/>
      <c r="O292" s="337"/>
      <c r="P292" s="337"/>
      <c r="Q292" s="337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</row>
    <row r="293" spans="1:39" s="332" customFormat="1">
      <c r="A293" s="45"/>
      <c r="C293" s="155"/>
      <c r="D293" s="155"/>
      <c r="E293" s="155"/>
      <c r="F293" s="155"/>
      <c r="G293" s="155"/>
      <c r="H293" s="155"/>
      <c r="I293" s="155"/>
      <c r="J293" s="337"/>
      <c r="K293" s="337"/>
      <c r="L293" s="337"/>
      <c r="M293" s="337"/>
      <c r="N293" s="337"/>
      <c r="O293" s="337"/>
      <c r="P293" s="337"/>
      <c r="Q293" s="337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</row>
    <row r="294" spans="1:39" s="332" customFormat="1">
      <c r="A294" s="45"/>
      <c r="C294" s="155"/>
      <c r="D294" s="155"/>
      <c r="E294" s="155"/>
      <c r="F294" s="155"/>
      <c r="G294" s="155"/>
      <c r="H294" s="155"/>
      <c r="I294" s="155"/>
      <c r="J294" s="337"/>
      <c r="K294" s="337"/>
      <c r="L294" s="337"/>
      <c r="M294" s="337"/>
      <c r="N294" s="337"/>
      <c r="O294" s="337"/>
      <c r="P294" s="337"/>
      <c r="Q294" s="337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</row>
    <row r="295" spans="1:39" s="332" customFormat="1">
      <c r="A295" s="45"/>
      <c r="C295" s="155"/>
      <c r="D295" s="155"/>
      <c r="E295" s="155"/>
      <c r="F295" s="155"/>
      <c r="G295" s="155"/>
      <c r="H295" s="155"/>
      <c r="I295" s="155"/>
      <c r="J295" s="337"/>
      <c r="K295" s="337"/>
      <c r="L295" s="337"/>
      <c r="M295" s="337"/>
      <c r="N295" s="337"/>
      <c r="O295" s="337"/>
      <c r="P295" s="337"/>
      <c r="Q295" s="337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</row>
    <row r="296" spans="1:39" s="332" customFormat="1">
      <c r="A296" s="45"/>
      <c r="C296" s="155"/>
      <c r="D296" s="155"/>
      <c r="E296" s="155"/>
      <c r="F296" s="155"/>
      <c r="G296" s="155"/>
      <c r="H296" s="155"/>
      <c r="I296" s="155"/>
      <c r="J296" s="337"/>
      <c r="K296" s="337"/>
      <c r="L296" s="337"/>
      <c r="M296" s="337"/>
      <c r="N296" s="337"/>
      <c r="O296" s="337"/>
      <c r="P296" s="337"/>
      <c r="Q296" s="337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</row>
    <row r="297" spans="1:39" s="332" customFormat="1">
      <c r="A297" s="45"/>
      <c r="C297" s="155"/>
      <c r="D297" s="155"/>
      <c r="E297" s="155"/>
      <c r="F297" s="155"/>
      <c r="G297" s="155"/>
      <c r="H297" s="155"/>
      <c r="I297" s="155"/>
      <c r="J297" s="337"/>
      <c r="K297" s="337"/>
      <c r="L297" s="337"/>
      <c r="M297" s="337"/>
      <c r="N297" s="337"/>
      <c r="O297" s="337"/>
      <c r="P297" s="337"/>
      <c r="Q297" s="337"/>
      <c r="R297" s="254"/>
      <c r="S297" s="254"/>
      <c r="T297" s="254"/>
      <c r="U297" s="254"/>
      <c r="V297" s="254"/>
      <c r="W297" s="254"/>
      <c r="X297" s="254"/>
      <c r="Y297" s="254"/>
      <c r="Z297" s="254"/>
      <c r="AA297" s="254"/>
      <c r="AB297" s="254"/>
      <c r="AC297" s="254"/>
      <c r="AD297" s="254"/>
      <c r="AE297" s="254"/>
      <c r="AF297" s="254"/>
      <c r="AG297" s="254"/>
      <c r="AH297" s="254"/>
      <c r="AI297" s="254"/>
      <c r="AJ297" s="254"/>
      <c r="AK297" s="254"/>
      <c r="AL297" s="254"/>
      <c r="AM297" s="254"/>
    </row>
    <row r="298" spans="1:39" s="332" customFormat="1">
      <c r="A298" s="45"/>
      <c r="C298" s="155"/>
      <c r="D298" s="155"/>
      <c r="E298" s="155"/>
      <c r="F298" s="155"/>
      <c r="G298" s="155"/>
      <c r="H298" s="155"/>
      <c r="I298" s="155"/>
      <c r="J298" s="337"/>
      <c r="K298" s="337"/>
      <c r="L298" s="337"/>
      <c r="M298" s="337"/>
      <c r="N298" s="337"/>
      <c r="O298" s="337"/>
      <c r="P298" s="337"/>
      <c r="Q298" s="337"/>
      <c r="R298" s="254"/>
      <c r="S298" s="254"/>
      <c r="T298" s="254"/>
      <c r="U298" s="254"/>
      <c r="V298" s="254"/>
      <c r="W298" s="254"/>
      <c r="X298" s="254"/>
      <c r="Y298" s="254"/>
      <c r="Z298" s="254"/>
      <c r="AA298" s="254"/>
      <c r="AB298" s="254"/>
      <c r="AC298" s="254"/>
      <c r="AD298" s="254"/>
      <c r="AE298" s="254"/>
      <c r="AF298" s="254"/>
      <c r="AG298" s="254"/>
      <c r="AH298" s="254"/>
      <c r="AI298" s="254"/>
      <c r="AJ298" s="254"/>
      <c r="AK298" s="254"/>
      <c r="AL298" s="254"/>
      <c r="AM298" s="254"/>
    </row>
    <row r="299" spans="1:39" s="332" customFormat="1">
      <c r="A299" s="45"/>
      <c r="C299" s="155"/>
      <c r="D299" s="155"/>
      <c r="E299" s="155"/>
      <c r="F299" s="155"/>
      <c r="G299" s="155"/>
      <c r="H299" s="155"/>
      <c r="I299" s="155"/>
      <c r="J299" s="337"/>
      <c r="K299" s="337"/>
      <c r="L299" s="337"/>
      <c r="M299" s="337"/>
      <c r="N299" s="337"/>
      <c r="O299" s="337"/>
      <c r="P299" s="337"/>
      <c r="Q299" s="337"/>
      <c r="R299" s="254"/>
      <c r="S299" s="254"/>
      <c r="T299" s="254"/>
      <c r="U299" s="254"/>
      <c r="V299" s="254"/>
      <c r="W299" s="254"/>
      <c r="X299" s="254"/>
      <c r="Y299" s="254"/>
      <c r="Z299" s="254"/>
      <c r="AA299" s="254"/>
      <c r="AB299" s="254"/>
      <c r="AC299" s="254"/>
      <c r="AD299" s="254"/>
      <c r="AE299" s="254"/>
      <c r="AF299" s="254"/>
      <c r="AG299" s="254"/>
      <c r="AH299" s="254"/>
      <c r="AI299" s="254"/>
      <c r="AJ299" s="254"/>
      <c r="AK299" s="254"/>
      <c r="AL299" s="254"/>
      <c r="AM299" s="254"/>
    </row>
    <row r="300" spans="1:39" s="332" customFormat="1">
      <c r="A300" s="45"/>
      <c r="C300" s="155"/>
      <c r="D300" s="155"/>
      <c r="E300" s="155"/>
      <c r="F300" s="155"/>
      <c r="G300" s="155"/>
      <c r="H300" s="155"/>
      <c r="I300" s="155"/>
      <c r="J300" s="337"/>
      <c r="K300" s="337"/>
      <c r="L300" s="337"/>
      <c r="M300" s="337"/>
      <c r="N300" s="337"/>
      <c r="O300" s="337"/>
      <c r="P300" s="337"/>
      <c r="Q300" s="337"/>
      <c r="R300" s="254"/>
      <c r="S300" s="254"/>
      <c r="T300" s="254"/>
      <c r="U300" s="254"/>
      <c r="V300" s="254"/>
      <c r="W300" s="254"/>
      <c r="X300" s="254"/>
      <c r="Y300" s="254"/>
      <c r="Z300" s="254"/>
      <c r="AA300" s="254"/>
      <c r="AB300" s="254"/>
      <c r="AC300" s="254"/>
      <c r="AD300" s="254"/>
      <c r="AE300" s="254"/>
      <c r="AF300" s="254"/>
      <c r="AG300" s="254"/>
      <c r="AH300" s="254"/>
      <c r="AI300" s="254"/>
      <c r="AJ300" s="254"/>
      <c r="AK300" s="254"/>
      <c r="AL300" s="254"/>
      <c r="AM300" s="254"/>
    </row>
    <row r="301" spans="1:39" s="332" customFormat="1">
      <c r="A301" s="45"/>
      <c r="C301" s="155"/>
      <c r="D301" s="155"/>
      <c r="E301" s="155"/>
      <c r="F301" s="155"/>
      <c r="G301" s="155"/>
      <c r="H301" s="155"/>
      <c r="I301" s="155"/>
      <c r="J301" s="337"/>
      <c r="K301" s="337"/>
      <c r="L301" s="337"/>
      <c r="M301" s="337"/>
      <c r="N301" s="337"/>
      <c r="O301" s="337"/>
      <c r="P301" s="337"/>
      <c r="Q301" s="337"/>
      <c r="R301" s="254"/>
      <c r="S301" s="254"/>
      <c r="T301" s="254"/>
      <c r="U301" s="254"/>
      <c r="V301" s="254"/>
      <c r="W301" s="254"/>
      <c r="X301" s="254"/>
      <c r="Y301" s="254"/>
      <c r="Z301" s="254"/>
      <c r="AA301" s="254"/>
      <c r="AB301" s="254"/>
      <c r="AC301" s="254"/>
      <c r="AD301" s="254"/>
      <c r="AE301" s="254"/>
      <c r="AF301" s="254"/>
      <c r="AG301" s="254"/>
      <c r="AH301" s="254"/>
      <c r="AI301" s="254"/>
      <c r="AJ301" s="254"/>
      <c r="AK301" s="254"/>
      <c r="AL301" s="254"/>
      <c r="AM301" s="254"/>
    </row>
    <row r="302" spans="1:39" s="332" customFormat="1">
      <c r="A302" s="45"/>
      <c r="C302" s="155"/>
      <c r="D302" s="155"/>
      <c r="E302" s="155"/>
      <c r="F302" s="155"/>
      <c r="G302" s="155"/>
      <c r="H302" s="155"/>
      <c r="I302" s="155"/>
      <c r="J302" s="337"/>
      <c r="K302" s="337"/>
      <c r="L302" s="337"/>
      <c r="M302" s="337"/>
      <c r="N302" s="337"/>
      <c r="O302" s="337"/>
      <c r="P302" s="337"/>
      <c r="Q302" s="337"/>
      <c r="R302" s="254"/>
      <c r="S302" s="254"/>
      <c r="T302" s="254"/>
      <c r="U302" s="254"/>
      <c r="V302" s="254"/>
      <c r="W302" s="254"/>
      <c r="X302" s="254"/>
      <c r="Y302" s="254"/>
      <c r="Z302" s="254"/>
      <c r="AA302" s="254"/>
      <c r="AB302" s="254"/>
      <c r="AC302" s="254"/>
      <c r="AD302" s="254"/>
      <c r="AE302" s="254"/>
      <c r="AF302" s="254"/>
      <c r="AG302" s="254"/>
      <c r="AH302" s="254"/>
      <c r="AI302" s="254"/>
      <c r="AJ302" s="254"/>
      <c r="AK302" s="254"/>
      <c r="AL302" s="254"/>
      <c r="AM302" s="254"/>
    </row>
    <row r="303" spans="1:39" s="332" customFormat="1">
      <c r="A303" s="45"/>
      <c r="C303" s="155"/>
      <c r="D303" s="155"/>
      <c r="E303" s="155"/>
      <c r="F303" s="155"/>
      <c r="G303" s="155"/>
      <c r="H303" s="155"/>
      <c r="I303" s="155"/>
      <c r="J303" s="337"/>
      <c r="K303" s="337"/>
      <c r="L303" s="337"/>
      <c r="M303" s="337"/>
      <c r="N303" s="337"/>
      <c r="O303" s="337"/>
      <c r="P303" s="337"/>
      <c r="Q303" s="337"/>
      <c r="R303" s="254"/>
      <c r="S303" s="254"/>
      <c r="T303" s="254"/>
      <c r="U303" s="254"/>
      <c r="V303" s="254"/>
      <c r="W303" s="254"/>
      <c r="X303" s="254"/>
      <c r="Y303" s="254"/>
      <c r="Z303" s="254"/>
      <c r="AA303" s="254"/>
      <c r="AB303" s="254"/>
      <c r="AC303" s="254"/>
      <c r="AD303" s="254"/>
      <c r="AE303" s="254"/>
      <c r="AF303" s="254"/>
      <c r="AG303" s="254"/>
      <c r="AH303" s="254"/>
      <c r="AI303" s="254"/>
      <c r="AJ303" s="254"/>
      <c r="AK303" s="254"/>
      <c r="AL303" s="254"/>
      <c r="AM303" s="254"/>
    </row>
    <row r="304" spans="1:39" s="332" customFormat="1">
      <c r="A304" s="45"/>
      <c r="C304" s="155"/>
      <c r="D304" s="155"/>
      <c r="E304" s="155"/>
      <c r="F304" s="155"/>
      <c r="G304" s="155"/>
      <c r="H304" s="155"/>
      <c r="I304" s="155"/>
      <c r="J304" s="337"/>
      <c r="K304" s="337"/>
      <c r="L304" s="337"/>
      <c r="M304" s="337"/>
      <c r="N304" s="337"/>
      <c r="O304" s="337"/>
      <c r="P304" s="337"/>
      <c r="Q304" s="337"/>
      <c r="R304" s="254"/>
      <c r="S304" s="254"/>
      <c r="T304" s="254"/>
      <c r="U304" s="254"/>
      <c r="V304" s="254"/>
      <c r="W304" s="254"/>
      <c r="X304" s="254"/>
      <c r="Y304" s="254"/>
      <c r="Z304" s="254"/>
      <c r="AA304" s="254"/>
      <c r="AB304" s="254"/>
      <c r="AC304" s="254"/>
      <c r="AD304" s="254"/>
      <c r="AE304" s="254"/>
      <c r="AF304" s="254"/>
      <c r="AG304" s="254"/>
      <c r="AH304" s="254"/>
      <c r="AI304" s="254"/>
      <c r="AJ304" s="254"/>
      <c r="AK304" s="254"/>
      <c r="AL304" s="254"/>
      <c r="AM304" s="254"/>
    </row>
    <row r="305" spans="1:39" s="332" customFormat="1">
      <c r="A305" s="45"/>
      <c r="C305" s="155"/>
      <c r="D305" s="155"/>
      <c r="E305" s="155"/>
      <c r="F305" s="155"/>
      <c r="G305" s="155"/>
      <c r="H305" s="155"/>
      <c r="I305" s="155"/>
      <c r="J305" s="337"/>
      <c r="K305" s="337"/>
      <c r="L305" s="337"/>
      <c r="M305" s="337"/>
      <c r="N305" s="337"/>
      <c r="O305" s="337"/>
      <c r="P305" s="337"/>
      <c r="Q305" s="337"/>
      <c r="R305" s="254"/>
      <c r="S305" s="254"/>
      <c r="T305" s="254"/>
      <c r="U305" s="254"/>
      <c r="V305" s="254"/>
      <c r="W305" s="254"/>
      <c r="X305" s="254"/>
      <c r="Y305" s="254"/>
      <c r="Z305" s="254"/>
      <c r="AA305" s="254"/>
      <c r="AB305" s="254"/>
      <c r="AC305" s="254"/>
      <c r="AD305" s="254"/>
      <c r="AE305" s="254"/>
      <c r="AF305" s="254"/>
      <c r="AG305" s="254"/>
      <c r="AH305" s="254"/>
      <c r="AI305" s="254"/>
      <c r="AJ305" s="254"/>
      <c r="AK305" s="254"/>
      <c r="AL305" s="254"/>
      <c r="AM305" s="254"/>
    </row>
    <row r="306" spans="1:39" s="332" customFormat="1">
      <c r="A306" s="45"/>
      <c r="C306" s="155"/>
      <c r="D306" s="155"/>
      <c r="E306" s="155"/>
      <c r="F306" s="155"/>
      <c r="G306" s="155"/>
      <c r="H306" s="155"/>
      <c r="I306" s="155"/>
      <c r="J306" s="337"/>
      <c r="K306" s="337"/>
      <c r="L306" s="337"/>
      <c r="M306" s="337"/>
      <c r="N306" s="337"/>
      <c r="O306" s="337"/>
      <c r="P306" s="337"/>
      <c r="Q306" s="337"/>
      <c r="R306" s="254"/>
      <c r="S306" s="254"/>
      <c r="T306" s="254"/>
      <c r="U306" s="254"/>
      <c r="V306" s="254"/>
      <c r="W306" s="254"/>
      <c r="X306" s="254"/>
      <c r="Y306" s="254"/>
      <c r="Z306" s="254"/>
      <c r="AA306" s="254"/>
      <c r="AB306" s="254"/>
      <c r="AC306" s="254"/>
      <c r="AD306" s="254"/>
      <c r="AE306" s="254"/>
      <c r="AF306" s="254"/>
      <c r="AG306" s="254"/>
      <c r="AH306" s="254"/>
      <c r="AI306" s="254"/>
      <c r="AJ306" s="254"/>
      <c r="AK306" s="254"/>
      <c r="AL306" s="254"/>
      <c r="AM306" s="254"/>
    </row>
    <row r="307" spans="1:39" s="332" customFormat="1">
      <c r="A307" s="45"/>
      <c r="C307" s="155"/>
      <c r="D307" s="155"/>
      <c r="E307" s="155"/>
      <c r="F307" s="155"/>
      <c r="G307" s="155"/>
      <c r="H307" s="155"/>
      <c r="I307" s="155"/>
      <c r="J307" s="337"/>
      <c r="K307" s="337"/>
      <c r="L307" s="337"/>
      <c r="M307" s="337"/>
      <c r="N307" s="337"/>
      <c r="O307" s="337"/>
      <c r="P307" s="337"/>
      <c r="Q307" s="337"/>
      <c r="R307" s="254"/>
      <c r="S307" s="254"/>
      <c r="T307" s="254"/>
      <c r="U307" s="254"/>
      <c r="V307" s="254"/>
      <c r="W307" s="254"/>
      <c r="X307" s="254"/>
      <c r="Y307" s="254"/>
      <c r="Z307" s="254"/>
      <c r="AA307" s="254"/>
      <c r="AB307" s="254"/>
      <c r="AC307" s="254"/>
      <c r="AD307" s="254"/>
      <c r="AE307" s="254"/>
      <c r="AF307" s="254"/>
      <c r="AG307" s="254"/>
      <c r="AH307" s="254"/>
      <c r="AI307" s="254"/>
      <c r="AJ307" s="254"/>
      <c r="AK307" s="254"/>
      <c r="AL307" s="254"/>
      <c r="AM307" s="254"/>
    </row>
    <row r="308" spans="1:39" s="332" customFormat="1">
      <c r="A308" s="45"/>
      <c r="C308" s="155"/>
      <c r="D308" s="155"/>
      <c r="E308" s="155"/>
      <c r="F308" s="155"/>
      <c r="G308" s="155"/>
      <c r="H308" s="155"/>
      <c r="I308" s="155"/>
      <c r="J308" s="337"/>
      <c r="K308" s="337"/>
      <c r="L308" s="337"/>
      <c r="M308" s="337"/>
      <c r="N308" s="337"/>
      <c r="O308" s="337"/>
      <c r="P308" s="337"/>
      <c r="Q308" s="337"/>
      <c r="R308" s="254"/>
      <c r="S308" s="254"/>
      <c r="T308" s="254"/>
      <c r="U308" s="254"/>
      <c r="V308" s="254"/>
      <c r="W308" s="254"/>
      <c r="X308" s="254"/>
      <c r="Y308" s="254"/>
      <c r="Z308" s="254"/>
      <c r="AA308" s="254"/>
      <c r="AB308" s="254"/>
      <c r="AC308" s="254"/>
      <c r="AD308" s="254"/>
      <c r="AE308" s="254"/>
      <c r="AF308" s="254"/>
      <c r="AG308" s="254"/>
      <c r="AH308" s="254"/>
      <c r="AI308" s="254"/>
      <c r="AJ308" s="254"/>
      <c r="AK308" s="254"/>
      <c r="AL308" s="254"/>
      <c r="AM308" s="254"/>
    </row>
    <row r="309" spans="1:39" s="332" customFormat="1">
      <c r="A309" s="45"/>
      <c r="C309" s="155"/>
      <c r="D309" s="155"/>
      <c r="E309" s="155"/>
      <c r="F309" s="155"/>
      <c r="G309" s="155"/>
      <c r="H309" s="155"/>
      <c r="I309" s="155"/>
      <c r="J309" s="337"/>
      <c r="K309" s="337"/>
      <c r="L309" s="337"/>
      <c r="M309" s="337"/>
      <c r="N309" s="337"/>
      <c r="O309" s="337"/>
      <c r="P309" s="337"/>
      <c r="Q309" s="337"/>
      <c r="R309" s="254"/>
      <c r="S309" s="254"/>
      <c r="T309" s="254"/>
      <c r="U309" s="254"/>
      <c r="V309" s="254"/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54"/>
      <c r="AK309" s="254"/>
      <c r="AL309" s="254"/>
      <c r="AM309" s="254"/>
    </row>
    <row r="310" spans="1:39" s="332" customFormat="1">
      <c r="A310" s="45"/>
      <c r="C310" s="155"/>
      <c r="D310" s="155"/>
      <c r="E310" s="155"/>
      <c r="F310" s="155"/>
      <c r="G310" s="155"/>
      <c r="H310" s="155"/>
      <c r="I310" s="155"/>
      <c r="J310" s="337"/>
      <c r="K310" s="337"/>
      <c r="L310" s="337"/>
      <c r="M310" s="337"/>
      <c r="N310" s="337"/>
      <c r="O310" s="337"/>
      <c r="P310" s="337"/>
      <c r="Q310" s="337"/>
      <c r="R310" s="254"/>
      <c r="S310" s="254"/>
      <c r="T310" s="254"/>
      <c r="U310" s="254"/>
      <c r="V310" s="254"/>
      <c r="W310" s="254"/>
      <c r="X310" s="254"/>
      <c r="Y310" s="254"/>
      <c r="Z310" s="254"/>
      <c r="AA310" s="254"/>
      <c r="AB310" s="254"/>
      <c r="AC310" s="254"/>
      <c r="AD310" s="254"/>
      <c r="AE310" s="254"/>
      <c r="AF310" s="254"/>
      <c r="AG310" s="254"/>
      <c r="AH310" s="254"/>
      <c r="AI310" s="254"/>
      <c r="AJ310" s="254"/>
      <c r="AK310" s="254"/>
      <c r="AL310" s="254"/>
      <c r="AM310" s="254"/>
    </row>
    <row r="311" spans="1:39" s="332" customFormat="1">
      <c r="A311" s="45"/>
      <c r="C311" s="155"/>
      <c r="D311" s="155"/>
      <c r="E311" s="155"/>
      <c r="F311" s="155"/>
      <c r="G311" s="155"/>
      <c r="H311" s="155"/>
      <c r="I311" s="155"/>
      <c r="J311" s="337"/>
      <c r="K311" s="337"/>
      <c r="L311" s="337"/>
      <c r="M311" s="337"/>
      <c r="N311" s="337"/>
      <c r="O311" s="337"/>
      <c r="P311" s="337"/>
      <c r="Q311" s="337"/>
      <c r="R311" s="254"/>
      <c r="S311" s="254"/>
      <c r="T311" s="254"/>
      <c r="U311" s="254"/>
      <c r="V311" s="254"/>
      <c r="W311" s="254"/>
      <c r="X311" s="254"/>
      <c r="Y311" s="254"/>
      <c r="Z311" s="254"/>
      <c r="AA311" s="254"/>
      <c r="AB311" s="254"/>
      <c r="AC311" s="254"/>
      <c r="AD311" s="254"/>
      <c r="AE311" s="254"/>
      <c r="AF311" s="254"/>
      <c r="AG311" s="254"/>
      <c r="AH311" s="254"/>
      <c r="AI311" s="254"/>
      <c r="AJ311" s="254"/>
      <c r="AK311" s="254"/>
      <c r="AL311" s="254"/>
      <c r="AM311" s="254"/>
    </row>
    <row r="312" spans="1:39" s="332" customFormat="1">
      <c r="A312" s="45"/>
      <c r="C312" s="155"/>
      <c r="D312" s="155"/>
      <c r="E312" s="155"/>
      <c r="F312" s="155"/>
      <c r="G312" s="155"/>
      <c r="H312" s="155"/>
      <c r="I312" s="155"/>
      <c r="J312" s="337"/>
      <c r="K312" s="337"/>
      <c r="L312" s="337"/>
      <c r="M312" s="337"/>
      <c r="N312" s="337"/>
      <c r="O312" s="337"/>
      <c r="P312" s="337"/>
      <c r="Q312" s="337"/>
      <c r="R312" s="254"/>
      <c r="S312" s="254"/>
      <c r="T312" s="254"/>
      <c r="U312" s="254"/>
      <c r="V312" s="254"/>
      <c r="W312" s="254"/>
      <c r="X312" s="254"/>
      <c r="Y312" s="254"/>
      <c r="Z312" s="254"/>
      <c r="AA312" s="254"/>
      <c r="AB312" s="254"/>
      <c r="AC312" s="254"/>
      <c r="AD312" s="254"/>
      <c r="AE312" s="254"/>
      <c r="AF312" s="254"/>
      <c r="AG312" s="254"/>
      <c r="AH312" s="254"/>
      <c r="AI312" s="254"/>
      <c r="AJ312" s="254"/>
      <c r="AK312" s="254"/>
      <c r="AL312" s="254"/>
      <c r="AM312" s="254"/>
    </row>
    <row r="313" spans="1:39" s="332" customFormat="1">
      <c r="A313" s="45"/>
      <c r="C313" s="155"/>
      <c r="D313" s="155"/>
      <c r="E313" s="155"/>
      <c r="F313" s="155"/>
      <c r="G313" s="155"/>
      <c r="H313" s="155"/>
      <c r="I313" s="155"/>
      <c r="J313" s="337"/>
      <c r="K313" s="337"/>
      <c r="L313" s="337"/>
      <c r="M313" s="337"/>
      <c r="N313" s="337"/>
      <c r="O313" s="337"/>
      <c r="P313" s="337"/>
      <c r="Q313" s="337"/>
      <c r="R313" s="254"/>
      <c r="S313" s="254"/>
      <c r="T313" s="254"/>
      <c r="U313" s="254"/>
      <c r="V313" s="254"/>
      <c r="W313" s="254"/>
      <c r="X313" s="254"/>
      <c r="Y313" s="254"/>
      <c r="Z313" s="254"/>
      <c r="AA313" s="254"/>
      <c r="AB313" s="254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</row>
    <row r="314" spans="1:39" s="332" customFormat="1">
      <c r="A314" s="45"/>
      <c r="C314" s="155"/>
      <c r="D314" s="155"/>
      <c r="E314" s="155"/>
      <c r="F314" s="155"/>
      <c r="G314" s="155"/>
      <c r="H314" s="155"/>
      <c r="I314" s="155"/>
      <c r="J314" s="337"/>
      <c r="K314" s="337"/>
      <c r="L314" s="337"/>
      <c r="M314" s="337"/>
      <c r="N314" s="337"/>
      <c r="O314" s="337"/>
      <c r="P314" s="337"/>
      <c r="Q314" s="337"/>
      <c r="R314" s="254"/>
      <c r="S314" s="254"/>
      <c r="T314" s="254"/>
      <c r="U314" s="254"/>
      <c r="V314" s="254"/>
      <c r="W314" s="254"/>
      <c r="X314" s="254"/>
      <c r="Y314" s="254"/>
      <c r="Z314" s="254"/>
      <c r="AA314" s="254"/>
      <c r="AB314" s="254"/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</row>
    <row r="315" spans="1:39" s="332" customFormat="1">
      <c r="A315" s="45"/>
      <c r="C315" s="155"/>
      <c r="D315" s="155"/>
      <c r="E315" s="155"/>
      <c r="F315" s="155"/>
      <c r="G315" s="155"/>
      <c r="H315" s="155"/>
      <c r="I315" s="155"/>
      <c r="J315" s="337"/>
      <c r="K315" s="337"/>
      <c r="L315" s="337"/>
      <c r="M315" s="337"/>
      <c r="N315" s="337"/>
      <c r="O315" s="337"/>
      <c r="P315" s="337"/>
      <c r="Q315" s="337"/>
      <c r="R315" s="254"/>
      <c r="S315" s="254"/>
      <c r="T315" s="254"/>
      <c r="U315" s="254"/>
      <c r="V315" s="254"/>
      <c r="W315" s="254"/>
      <c r="X315" s="254"/>
      <c r="Y315" s="254"/>
      <c r="Z315" s="254"/>
      <c r="AA315" s="254"/>
      <c r="AB315" s="254"/>
      <c r="AC315" s="254"/>
      <c r="AD315" s="254"/>
      <c r="AE315" s="254"/>
      <c r="AF315" s="254"/>
      <c r="AG315" s="254"/>
      <c r="AH315" s="254"/>
      <c r="AI315" s="254"/>
      <c r="AJ315" s="254"/>
      <c r="AK315" s="254"/>
      <c r="AL315" s="254"/>
      <c r="AM315" s="254"/>
    </row>
    <row r="316" spans="1:39" s="332" customFormat="1">
      <c r="A316" s="45"/>
      <c r="C316" s="155"/>
      <c r="D316" s="155"/>
      <c r="E316" s="155"/>
      <c r="F316" s="155"/>
      <c r="G316" s="155"/>
      <c r="H316" s="155"/>
      <c r="I316" s="155"/>
      <c r="J316" s="337"/>
      <c r="K316" s="337"/>
      <c r="L316" s="337"/>
      <c r="M316" s="337"/>
      <c r="N316" s="337"/>
      <c r="O316" s="337"/>
      <c r="P316" s="337"/>
      <c r="Q316" s="337"/>
      <c r="R316" s="254"/>
      <c r="S316" s="254"/>
      <c r="T316" s="254"/>
      <c r="U316" s="254"/>
      <c r="V316" s="254"/>
      <c r="W316" s="254"/>
      <c r="X316" s="254"/>
      <c r="Y316" s="254"/>
      <c r="Z316" s="254"/>
      <c r="AA316" s="254"/>
      <c r="AB316" s="254"/>
      <c r="AC316" s="254"/>
      <c r="AD316" s="254"/>
      <c r="AE316" s="254"/>
      <c r="AF316" s="254"/>
      <c r="AG316" s="254"/>
      <c r="AH316" s="254"/>
      <c r="AI316" s="254"/>
      <c r="AJ316" s="254"/>
      <c r="AK316" s="254"/>
      <c r="AL316" s="254"/>
      <c r="AM316" s="254"/>
    </row>
    <row r="317" spans="1:39" s="332" customFormat="1">
      <c r="A317" s="45"/>
      <c r="C317" s="155"/>
      <c r="D317" s="155"/>
      <c r="E317" s="155"/>
      <c r="F317" s="155"/>
      <c r="G317" s="155"/>
      <c r="H317" s="155"/>
      <c r="I317" s="155"/>
      <c r="J317" s="337"/>
      <c r="K317" s="337"/>
      <c r="L317" s="337"/>
      <c r="M317" s="337"/>
      <c r="N317" s="337"/>
      <c r="O317" s="337"/>
      <c r="P317" s="337"/>
      <c r="Q317" s="337"/>
      <c r="R317" s="254"/>
      <c r="S317" s="254"/>
      <c r="T317" s="254"/>
      <c r="U317" s="254"/>
      <c r="V317" s="254"/>
      <c r="W317" s="254"/>
      <c r="X317" s="254"/>
      <c r="Y317" s="254"/>
      <c r="Z317" s="254"/>
      <c r="AA317" s="254"/>
      <c r="AB317" s="254"/>
      <c r="AC317" s="254"/>
      <c r="AD317" s="254"/>
      <c r="AE317" s="254"/>
      <c r="AF317" s="254"/>
      <c r="AG317" s="254"/>
      <c r="AH317" s="254"/>
      <c r="AI317" s="254"/>
      <c r="AJ317" s="254"/>
      <c r="AK317" s="254"/>
      <c r="AL317" s="254"/>
      <c r="AM317" s="254"/>
    </row>
    <row r="318" spans="1:39" s="332" customFormat="1">
      <c r="A318" s="45"/>
      <c r="C318" s="155"/>
      <c r="D318" s="155"/>
      <c r="E318" s="155"/>
      <c r="F318" s="155"/>
      <c r="G318" s="155"/>
      <c r="H318" s="155"/>
      <c r="I318" s="155"/>
      <c r="J318" s="337"/>
      <c r="K318" s="337"/>
      <c r="L318" s="337"/>
      <c r="M318" s="337"/>
      <c r="N318" s="337"/>
      <c r="O318" s="337"/>
      <c r="P318" s="337"/>
      <c r="Q318" s="337"/>
      <c r="R318" s="254"/>
      <c r="S318" s="254"/>
      <c r="T318" s="254"/>
      <c r="U318" s="254"/>
      <c r="V318" s="254"/>
      <c r="W318" s="254"/>
      <c r="X318" s="254"/>
      <c r="Y318" s="254"/>
      <c r="Z318" s="254"/>
      <c r="AA318" s="254"/>
      <c r="AB318" s="254"/>
      <c r="AC318" s="254"/>
      <c r="AD318" s="254"/>
      <c r="AE318" s="254"/>
      <c r="AF318" s="254"/>
      <c r="AG318" s="254"/>
      <c r="AH318" s="254"/>
      <c r="AI318" s="254"/>
      <c r="AJ318" s="254"/>
      <c r="AK318" s="254"/>
      <c r="AL318" s="254"/>
      <c r="AM318" s="254"/>
    </row>
    <row r="319" spans="1:39" s="332" customFormat="1">
      <c r="A319" s="45"/>
      <c r="C319" s="155"/>
      <c r="D319" s="155"/>
      <c r="E319" s="155"/>
      <c r="F319" s="155"/>
      <c r="G319" s="155"/>
      <c r="H319" s="155"/>
      <c r="I319" s="155"/>
      <c r="J319" s="337"/>
      <c r="K319" s="337"/>
      <c r="L319" s="337"/>
      <c r="M319" s="337"/>
      <c r="N319" s="337"/>
      <c r="O319" s="337"/>
      <c r="P319" s="337"/>
      <c r="Q319" s="337"/>
      <c r="R319" s="254"/>
      <c r="S319" s="254"/>
      <c r="T319" s="254"/>
      <c r="U319" s="254"/>
      <c r="V319" s="254"/>
      <c r="W319" s="254"/>
      <c r="X319" s="254"/>
      <c r="Y319" s="254"/>
      <c r="Z319" s="254"/>
      <c r="AA319" s="254"/>
      <c r="AB319" s="254"/>
      <c r="AC319" s="254"/>
      <c r="AD319" s="254"/>
      <c r="AE319" s="254"/>
      <c r="AF319" s="254"/>
      <c r="AG319" s="254"/>
      <c r="AH319" s="254"/>
      <c r="AI319" s="254"/>
      <c r="AJ319" s="254"/>
      <c r="AK319" s="254"/>
      <c r="AL319" s="254"/>
      <c r="AM319" s="254"/>
    </row>
    <row r="320" spans="1:39" s="332" customFormat="1">
      <c r="A320" s="45"/>
      <c r="C320" s="155"/>
      <c r="D320" s="155"/>
      <c r="E320" s="155"/>
      <c r="F320" s="155"/>
      <c r="G320" s="155"/>
      <c r="H320" s="155"/>
      <c r="I320" s="155"/>
      <c r="J320" s="337"/>
      <c r="K320" s="337"/>
      <c r="L320" s="337"/>
      <c r="M320" s="337"/>
      <c r="N320" s="337"/>
      <c r="O320" s="337"/>
      <c r="P320" s="337"/>
      <c r="Q320" s="337"/>
      <c r="R320" s="254"/>
      <c r="S320" s="254"/>
      <c r="T320" s="254"/>
      <c r="U320" s="254"/>
      <c r="V320" s="254"/>
      <c r="W320" s="254"/>
      <c r="X320" s="254"/>
      <c r="Y320" s="254"/>
      <c r="Z320" s="254"/>
      <c r="AA320" s="254"/>
      <c r="AB320" s="254"/>
      <c r="AC320" s="254"/>
      <c r="AD320" s="254"/>
      <c r="AE320" s="254"/>
      <c r="AF320" s="254"/>
      <c r="AG320" s="254"/>
      <c r="AH320" s="254"/>
      <c r="AI320" s="254"/>
      <c r="AJ320" s="254"/>
      <c r="AK320" s="254"/>
      <c r="AL320" s="254"/>
      <c r="AM320" s="254"/>
    </row>
    <row r="321" spans="1:39" s="332" customFormat="1">
      <c r="A321" s="45"/>
      <c r="C321" s="155"/>
      <c r="D321" s="155"/>
      <c r="E321" s="155"/>
      <c r="F321" s="155"/>
      <c r="G321" s="155"/>
      <c r="H321" s="155"/>
      <c r="I321" s="155"/>
      <c r="J321" s="337"/>
      <c r="K321" s="337"/>
      <c r="L321" s="337"/>
      <c r="M321" s="337"/>
      <c r="N321" s="337"/>
      <c r="O321" s="337"/>
      <c r="P321" s="337"/>
      <c r="Q321" s="337"/>
      <c r="R321" s="254"/>
      <c r="S321" s="254"/>
      <c r="T321" s="254"/>
      <c r="U321" s="254"/>
      <c r="V321" s="254"/>
      <c r="W321" s="254"/>
      <c r="X321" s="254"/>
      <c r="Y321" s="254"/>
      <c r="Z321" s="254"/>
      <c r="AA321" s="254"/>
      <c r="AB321" s="254"/>
      <c r="AC321" s="254"/>
      <c r="AD321" s="254"/>
      <c r="AE321" s="254"/>
      <c r="AF321" s="254"/>
      <c r="AG321" s="254"/>
      <c r="AH321" s="254"/>
      <c r="AI321" s="254"/>
      <c r="AJ321" s="254"/>
      <c r="AK321" s="254"/>
      <c r="AL321" s="254"/>
      <c r="AM321" s="254"/>
    </row>
    <row r="322" spans="1:39" s="332" customFormat="1">
      <c r="A322" s="45"/>
      <c r="C322" s="155"/>
      <c r="D322" s="155"/>
      <c r="E322" s="155"/>
      <c r="F322" s="155"/>
      <c r="G322" s="155"/>
      <c r="H322" s="155"/>
      <c r="I322" s="155"/>
      <c r="J322" s="337"/>
      <c r="K322" s="337"/>
      <c r="L322" s="337"/>
      <c r="M322" s="337"/>
      <c r="N322" s="337"/>
      <c r="O322" s="337"/>
      <c r="P322" s="337"/>
      <c r="Q322" s="337"/>
      <c r="R322" s="254"/>
      <c r="S322" s="254"/>
      <c r="T322" s="254"/>
      <c r="U322" s="254"/>
      <c r="V322" s="254"/>
      <c r="W322" s="254"/>
      <c r="X322" s="254"/>
      <c r="Y322" s="254"/>
      <c r="Z322" s="254"/>
      <c r="AA322" s="254"/>
      <c r="AB322" s="254"/>
      <c r="AC322" s="254"/>
      <c r="AD322" s="254"/>
      <c r="AE322" s="254"/>
      <c r="AF322" s="254"/>
      <c r="AG322" s="254"/>
      <c r="AH322" s="254"/>
      <c r="AI322" s="254"/>
      <c r="AJ322" s="254"/>
      <c r="AK322" s="254"/>
      <c r="AL322" s="254"/>
      <c r="AM322" s="254"/>
    </row>
    <row r="323" spans="1:39" s="332" customFormat="1">
      <c r="A323" s="45"/>
      <c r="C323" s="155"/>
      <c r="D323" s="155"/>
      <c r="E323" s="155"/>
      <c r="F323" s="155"/>
      <c r="G323" s="155"/>
      <c r="H323" s="155"/>
      <c r="I323" s="155"/>
      <c r="J323" s="337"/>
      <c r="K323" s="337"/>
      <c r="L323" s="337"/>
      <c r="M323" s="337"/>
      <c r="N323" s="337"/>
      <c r="O323" s="337"/>
      <c r="P323" s="337"/>
      <c r="Q323" s="337"/>
      <c r="R323" s="254"/>
      <c r="S323" s="254"/>
      <c r="T323" s="254"/>
      <c r="U323" s="254"/>
      <c r="V323" s="254"/>
      <c r="W323" s="254"/>
      <c r="X323" s="254"/>
      <c r="Y323" s="254"/>
      <c r="Z323" s="254"/>
      <c r="AA323" s="254"/>
      <c r="AB323" s="254"/>
      <c r="AC323" s="254"/>
      <c r="AD323" s="254"/>
      <c r="AE323" s="254"/>
      <c r="AF323" s="254"/>
      <c r="AG323" s="254"/>
      <c r="AH323" s="254"/>
      <c r="AI323" s="254"/>
      <c r="AJ323" s="254"/>
      <c r="AK323" s="254"/>
      <c r="AL323" s="254"/>
      <c r="AM323" s="254"/>
    </row>
    <row r="324" spans="1:39" s="332" customFormat="1">
      <c r="A324" s="45"/>
      <c r="C324" s="155"/>
      <c r="D324" s="155"/>
      <c r="E324" s="155"/>
      <c r="F324" s="155"/>
      <c r="G324" s="155"/>
      <c r="H324" s="155"/>
      <c r="I324" s="155"/>
      <c r="J324" s="337"/>
      <c r="K324" s="337"/>
      <c r="L324" s="337"/>
      <c r="M324" s="337"/>
      <c r="N324" s="337"/>
      <c r="O324" s="337"/>
      <c r="P324" s="337"/>
      <c r="Q324" s="337"/>
      <c r="R324" s="254"/>
      <c r="S324" s="254"/>
      <c r="T324" s="254"/>
      <c r="U324" s="254"/>
      <c r="V324" s="254"/>
      <c r="W324" s="254"/>
      <c r="X324" s="254"/>
      <c r="Y324" s="254"/>
      <c r="Z324" s="254"/>
      <c r="AA324" s="254"/>
      <c r="AB324" s="254"/>
      <c r="AC324" s="254"/>
      <c r="AD324" s="254"/>
      <c r="AE324" s="254"/>
      <c r="AF324" s="254"/>
      <c r="AG324" s="254"/>
      <c r="AH324" s="254"/>
      <c r="AI324" s="254"/>
      <c r="AJ324" s="254"/>
      <c r="AK324" s="254"/>
      <c r="AL324" s="254"/>
      <c r="AM324" s="254"/>
    </row>
    <row r="325" spans="1:39" s="332" customFormat="1">
      <c r="A325" s="45"/>
      <c r="C325" s="155"/>
      <c r="D325" s="155"/>
      <c r="E325" s="155"/>
      <c r="F325" s="155"/>
      <c r="G325" s="155"/>
      <c r="H325" s="155"/>
      <c r="I325" s="155"/>
      <c r="J325" s="337"/>
      <c r="K325" s="337"/>
      <c r="L325" s="337"/>
      <c r="M325" s="337"/>
      <c r="N325" s="337"/>
      <c r="O325" s="337"/>
      <c r="P325" s="337"/>
      <c r="Q325" s="337"/>
      <c r="R325" s="254"/>
      <c r="S325" s="254"/>
      <c r="T325" s="254"/>
      <c r="U325" s="254"/>
      <c r="V325" s="254"/>
      <c r="W325" s="254"/>
      <c r="X325" s="254"/>
      <c r="Y325" s="254"/>
      <c r="Z325" s="254"/>
      <c r="AA325" s="254"/>
      <c r="AB325" s="254"/>
      <c r="AC325" s="254"/>
      <c r="AD325" s="254"/>
      <c r="AE325" s="254"/>
      <c r="AF325" s="254"/>
      <c r="AG325" s="254"/>
      <c r="AH325" s="254"/>
      <c r="AI325" s="254"/>
      <c r="AJ325" s="254"/>
      <c r="AK325" s="254"/>
      <c r="AL325" s="254"/>
      <c r="AM325" s="254"/>
    </row>
    <row r="326" spans="1:39" s="332" customFormat="1">
      <c r="A326" s="45"/>
      <c r="C326" s="155"/>
      <c r="D326" s="155"/>
      <c r="E326" s="155"/>
      <c r="F326" s="155"/>
      <c r="G326" s="155"/>
      <c r="H326" s="155"/>
      <c r="I326" s="155"/>
      <c r="J326" s="337"/>
      <c r="K326" s="337"/>
      <c r="L326" s="337"/>
      <c r="M326" s="337"/>
      <c r="N326" s="337"/>
      <c r="O326" s="337"/>
      <c r="P326" s="337"/>
      <c r="Q326" s="337"/>
      <c r="R326" s="254"/>
      <c r="S326" s="254"/>
      <c r="T326" s="254"/>
      <c r="U326" s="254"/>
      <c r="V326" s="254"/>
      <c r="W326" s="254"/>
      <c r="X326" s="254"/>
      <c r="Y326" s="254"/>
      <c r="Z326" s="254"/>
      <c r="AA326" s="254"/>
      <c r="AB326" s="254"/>
      <c r="AC326" s="254"/>
      <c r="AD326" s="254"/>
      <c r="AE326" s="254"/>
      <c r="AF326" s="254"/>
      <c r="AG326" s="254"/>
      <c r="AH326" s="254"/>
      <c r="AI326" s="254"/>
      <c r="AJ326" s="254"/>
      <c r="AK326" s="254"/>
      <c r="AL326" s="254"/>
      <c r="AM326" s="254"/>
    </row>
    <row r="327" spans="1:39" s="332" customFormat="1">
      <c r="A327" s="45"/>
      <c r="C327" s="155"/>
      <c r="D327" s="155"/>
      <c r="E327" s="155"/>
      <c r="F327" s="155"/>
      <c r="G327" s="155"/>
      <c r="H327" s="155"/>
      <c r="I327" s="155"/>
      <c r="J327" s="337"/>
      <c r="K327" s="337"/>
      <c r="L327" s="337"/>
      <c r="M327" s="337"/>
      <c r="N327" s="337"/>
      <c r="O327" s="337"/>
      <c r="P327" s="337"/>
      <c r="Q327" s="337"/>
      <c r="R327" s="254"/>
      <c r="S327" s="254"/>
      <c r="T327" s="254"/>
      <c r="U327" s="254"/>
      <c r="V327" s="254"/>
      <c r="W327" s="254"/>
      <c r="X327" s="254"/>
      <c r="Y327" s="254"/>
      <c r="Z327" s="254"/>
      <c r="AA327" s="254"/>
      <c r="AB327" s="254"/>
      <c r="AC327" s="254"/>
      <c r="AD327" s="254"/>
      <c r="AE327" s="254"/>
      <c r="AF327" s="254"/>
      <c r="AG327" s="254"/>
      <c r="AH327" s="254"/>
      <c r="AI327" s="254"/>
      <c r="AJ327" s="254"/>
      <c r="AK327" s="254"/>
      <c r="AL327" s="254"/>
      <c r="AM327" s="254"/>
    </row>
    <row r="328" spans="1:39" s="332" customFormat="1">
      <c r="A328" s="45"/>
      <c r="C328" s="155"/>
      <c r="D328" s="155"/>
      <c r="E328" s="155"/>
      <c r="F328" s="155"/>
      <c r="G328" s="155"/>
      <c r="H328" s="155"/>
      <c r="I328" s="155"/>
      <c r="J328" s="337"/>
      <c r="K328" s="337"/>
      <c r="L328" s="337"/>
      <c r="M328" s="337"/>
      <c r="N328" s="337"/>
      <c r="O328" s="337"/>
      <c r="P328" s="337"/>
      <c r="Q328" s="337"/>
      <c r="R328" s="254"/>
      <c r="S328" s="254"/>
      <c r="T328" s="254"/>
      <c r="U328" s="254"/>
      <c r="V328" s="254"/>
      <c r="W328" s="254"/>
      <c r="X328" s="254"/>
      <c r="Y328" s="254"/>
      <c r="Z328" s="254"/>
      <c r="AA328" s="254"/>
      <c r="AB328" s="254"/>
      <c r="AC328" s="254"/>
      <c r="AD328" s="254"/>
      <c r="AE328" s="254"/>
      <c r="AF328" s="254"/>
      <c r="AG328" s="254"/>
      <c r="AH328" s="254"/>
      <c r="AI328" s="254"/>
      <c r="AJ328" s="254"/>
      <c r="AK328" s="254"/>
      <c r="AL328" s="254"/>
      <c r="AM328" s="254"/>
    </row>
    <row r="329" spans="1:39" s="332" customFormat="1">
      <c r="A329" s="45"/>
      <c r="C329" s="155"/>
      <c r="D329" s="155"/>
      <c r="E329" s="155"/>
      <c r="F329" s="155"/>
      <c r="G329" s="155"/>
      <c r="H329" s="155"/>
      <c r="I329" s="155"/>
      <c r="J329" s="337"/>
      <c r="K329" s="337"/>
      <c r="L329" s="337"/>
      <c r="M329" s="337"/>
      <c r="N329" s="337"/>
      <c r="O329" s="337"/>
      <c r="P329" s="337"/>
      <c r="Q329" s="337"/>
      <c r="R329" s="254"/>
      <c r="S329" s="254"/>
      <c r="T329" s="254"/>
      <c r="U329" s="254"/>
      <c r="V329" s="254"/>
      <c r="W329" s="254"/>
      <c r="X329" s="254"/>
      <c r="Y329" s="254"/>
      <c r="Z329" s="254"/>
      <c r="AA329" s="254"/>
      <c r="AB329" s="254"/>
      <c r="AC329" s="254"/>
      <c r="AD329" s="254"/>
      <c r="AE329" s="254"/>
      <c r="AF329" s="254"/>
      <c r="AG329" s="254"/>
      <c r="AH329" s="254"/>
      <c r="AI329" s="254"/>
      <c r="AJ329" s="254"/>
      <c r="AK329" s="254"/>
      <c r="AL329" s="254"/>
      <c r="AM329" s="254"/>
    </row>
    <row r="330" spans="1:39" s="332" customFormat="1">
      <c r="A330" s="45"/>
      <c r="C330" s="155"/>
      <c r="D330" s="155"/>
      <c r="E330" s="155"/>
      <c r="F330" s="155"/>
      <c r="G330" s="155"/>
      <c r="H330" s="155"/>
      <c r="I330" s="155"/>
      <c r="J330" s="337"/>
      <c r="K330" s="337"/>
      <c r="L330" s="337"/>
      <c r="M330" s="337"/>
      <c r="N330" s="337"/>
      <c r="O330" s="337"/>
      <c r="P330" s="337"/>
      <c r="Q330" s="337"/>
      <c r="R330" s="254"/>
      <c r="S330" s="254"/>
      <c r="T330" s="254"/>
      <c r="U330" s="254"/>
      <c r="V330" s="254"/>
      <c r="W330" s="254"/>
      <c r="X330" s="254"/>
      <c r="Y330" s="254"/>
      <c r="Z330" s="254"/>
      <c r="AA330" s="254"/>
      <c r="AB330" s="254"/>
      <c r="AC330" s="254"/>
      <c r="AD330" s="254"/>
      <c r="AE330" s="254"/>
      <c r="AF330" s="254"/>
      <c r="AG330" s="254"/>
      <c r="AH330" s="254"/>
      <c r="AI330" s="254"/>
      <c r="AJ330" s="254"/>
      <c r="AK330" s="254"/>
      <c r="AL330" s="254"/>
      <c r="AM330" s="254"/>
    </row>
    <row r="331" spans="1:39" s="332" customFormat="1">
      <c r="A331" s="45"/>
      <c r="C331" s="155"/>
      <c r="D331" s="155"/>
      <c r="E331" s="155"/>
      <c r="F331" s="155"/>
      <c r="G331" s="155"/>
      <c r="H331" s="155"/>
      <c r="I331" s="155"/>
      <c r="J331" s="337"/>
      <c r="K331" s="337"/>
      <c r="L331" s="337"/>
      <c r="M331" s="337"/>
      <c r="N331" s="337"/>
      <c r="O331" s="337"/>
      <c r="P331" s="337"/>
      <c r="Q331" s="337"/>
      <c r="R331" s="254"/>
      <c r="S331" s="254"/>
      <c r="T331" s="254"/>
      <c r="U331" s="254"/>
      <c r="V331" s="254"/>
      <c r="W331" s="254"/>
      <c r="X331" s="254"/>
      <c r="Y331" s="254"/>
      <c r="Z331" s="254"/>
      <c r="AA331" s="254"/>
      <c r="AB331" s="254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4"/>
    </row>
    <row r="332" spans="1:39" s="332" customFormat="1">
      <c r="A332" s="45"/>
      <c r="C332" s="155"/>
      <c r="D332" s="155"/>
      <c r="E332" s="155"/>
      <c r="F332" s="155"/>
      <c r="G332" s="155"/>
      <c r="H332" s="155"/>
      <c r="I332" s="155"/>
      <c r="J332" s="337"/>
      <c r="K332" s="337"/>
      <c r="L332" s="337"/>
      <c r="M332" s="337"/>
      <c r="N332" s="337"/>
      <c r="O332" s="337"/>
      <c r="P332" s="337"/>
      <c r="Q332" s="337"/>
      <c r="R332" s="254"/>
      <c r="S332" s="254"/>
      <c r="T332" s="254"/>
      <c r="U332" s="254"/>
      <c r="V332" s="254"/>
      <c r="W332" s="254"/>
      <c r="X332" s="254"/>
      <c r="Y332" s="254"/>
      <c r="Z332" s="254"/>
      <c r="AA332" s="254"/>
      <c r="AB332" s="254"/>
      <c r="AC332" s="254"/>
      <c r="AD332" s="254"/>
      <c r="AE332" s="254"/>
      <c r="AF332" s="254"/>
      <c r="AG332" s="254"/>
      <c r="AH332" s="254"/>
      <c r="AI332" s="254"/>
      <c r="AJ332" s="254"/>
      <c r="AK332" s="254"/>
      <c r="AL332" s="254"/>
      <c r="AM332" s="254"/>
    </row>
    <row r="333" spans="1:39" s="332" customFormat="1">
      <c r="A333" s="45"/>
      <c r="C333" s="155"/>
      <c r="D333" s="155"/>
      <c r="E333" s="155"/>
      <c r="F333" s="155"/>
      <c r="G333" s="155"/>
      <c r="H333" s="155"/>
      <c r="I333" s="155"/>
      <c r="J333" s="337"/>
      <c r="K333" s="337"/>
      <c r="L333" s="337"/>
      <c r="M333" s="337"/>
      <c r="N333" s="337"/>
      <c r="O333" s="337"/>
      <c r="P333" s="337"/>
      <c r="Q333" s="337"/>
      <c r="R333" s="254"/>
      <c r="S333" s="254"/>
      <c r="T333" s="254"/>
      <c r="U333" s="254"/>
      <c r="V333" s="254"/>
      <c r="W333" s="254"/>
      <c r="X333" s="254"/>
      <c r="Y333" s="254"/>
      <c r="Z333" s="254"/>
      <c r="AA333" s="254"/>
      <c r="AB333" s="254"/>
      <c r="AC333" s="254"/>
      <c r="AD333" s="254"/>
      <c r="AE333" s="254"/>
      <c r="AF333" s="254"/>
      <c r="AG333" s="254"/>
      <c r="AH333" s="254"/>
      <c r="AI333" s="254"/>
      <c r="AJ333" s="254"/>
      <c r="AK333" s="254"/>
      <c r="AL333" s="254"/>
      <c r="AM333" s="254"/>
    </row>
    <row r="334" spans="1:39" s="332" customFormat="1">
      <c r="A334" s="45"/>
      <c r="C334" s="155"/>
      <c r="D334" s="155"/>
      <c r="E334" s="155"/>
      <c r="F334" s="155"/>
      <c r="G334" s="155"/>
      <c r="H334" s="155"/>
      <c r="I334" s="155"/>
      <c r="J334" s="337"/>
      <c r="K334" s="337"/>
      <c r="L334" s="337"/>
      <c r="M334" s="337"/>
      <c r="N334" s="337"/>
      <c r="O334" s="337"/>
      <c r="P334" s="337"/>
      <c r="Q334" s="337"/>
      <c r="R334" s="254"/>
      <c r="S334" s="254"/>
      <c r="T334" s="254"/>
      <c r="U334" s="254"/>
      <c r="V334" s="254"/>
      <c r="W334" s="254"/>
      <c r="X334" s="254"/>
      <c r="Y334" s="254"/>
      <c r="Z334" s="254"/>
      <c r="AA334" s="254"/>
      <c r="AB334" s="254"/>
      <c r="AC334" s="254"/>
      <c r="AD334" s="254"/>
      <c r="AE334" s="254"/>
      <c r="AF334" s="254"/>
      <c r="AG334" s="254"/>
      <c r="AH334" s="254"/>
      <c r="AI334" s="254"/>
      <c r="AJ334" s="254"/>
      <c r="AK334" s="254"/>
      <c r="AL334" s="254"/>
      <c r="AM334" s="254"/>
    </row>
    <row r="335" spans="1:39" s="332" customFormat="1">
      <c r="A335" s="45"/>
      <c r="C335" s="155"/>
      <c r="D335" s="155"/>
      <c r="E335" s="155"/>
      <c r="F335" s="155"/>
      <c r="G335" s="155"/>
      <c r="H335" s="155"/>
      <c r="I335" s="155"/>
      <c r="J335" s="337"/>
      <c r="K335" s="337"/>
      <c r="L335" s="337"/>
      <c r="M335" s="337"/>
      <c r="N335" s="337"/>
      <c r="O335" s="337"/>
      <c r="P335" s="337"/>
      <c r="Q335" s="337"/>
      <c r="R335" s="254"/>
      <c r="S335" s="254"/>
      <c r="T335" s="254"/>
      <c r="U335" s="254"/>
      <c r="V335" s="254"/>
      <c r="W335" s="254"/>
      <c r="X335" s="254"/>
      <c r="Y335" s="254"/>
      <c r="Z335" s="254"/>
      <c r="AA335" s="254"/>
      <c r="AB335" s="254"/>
      <c r="AC335" s="254"/>
      <c r="AD335" s="254"/>
      <c r="AE335" s="254"/>
      <c r="AF335" s="254"/>
      <c r="AG335" s="254"/>
      <c r="AH335" s="254"/>
      <c r="AI335" s="254"/>
      <c r="AJ335" s="254"/>
      <c r="AK335" s="254"/>
      <c r="AL335" s="254"/>
      <c r="AM335" s="254"/>
    </row>
    <row r="336" spans="1:39" s="332" customFormat="1">
      <c r="A336" s="45"/>
      <c r="C336" s="155"/>
      <c r="D336" s="155"/>
      <c r="E336" s="155"/>
      <c r="F336" s="155"/>
      <c r="G336" s="155"/>
      <c r="H336" s="155"/>
      <c r="I336" s="155"/>
      <c r="J336" s="337"/>
      <c r="K336" s="337"/>
      <c r="L336" s="337"/>
      <c r="M336" s="337"/>
      <c r="N336" s="337"/>
      <c r="O336" s="337"/>
      <c r="P336" s="337"/>
      <c r="Q336" s="337"/>
      <c r="R336" s="254"/>
      <c r="S336" s="254"/>
      <c r="T336" s="254"/>
      <c r="U336" s="254"/>
      <c r="V336" s="254"/>
      <c r="W336" s="254"/>
      <c r="X336" s="254"/>
      <c r="Y336" s="254"/>
      <c r="Z336" s="254"/>
      <c r="AA336" s="254"/>
      <c r="AB336" s="254"/>
      <c r="AC336" s="254"/>
      <c r="AD336" s="254"/>
      <c r="AE336" s="254"/>
      <c r="AF336" s="254"/>
      <c r="AG336" s="254"/>
      <c r="AH336" s="254"/>
      <c r="AI336" s="254"/>
      <c r="AJ336" s="254"/>
      <c r="AK336" s="254"/>
      <c r="AL336" s="254"/>
      <c r="AM336" s="254"/>
    </row>
    <row r="337" spans="1:39" s="332" customFormat="1">
      <c r="A337" s="45"/>
      <c r="C337" s="155"/>
      <c r="D337" s="155"/>
      <c r="E337" s="155"/>
      <c r="F337" s="155"/>
      <c r="G337" s="155"/>
      <c r="H337" s="155"/>
      <c r="I337" s="155"/>
      <c r="J337" s="337"/>
      <c r="K337" s="337"/>
      <c r="L337" s="337"/>
      <c r="M337" s="337"/>
      <c r="N337" s="337"/>
      <c r="O337" s="337"/>
      <c r="P337" s="337"/>
      <c r="Q337" s="337"/>
      <c r="R337" s="337"/>
      <c r="S337" s="337"/>
      <c r="T337" s="337"/>
      <c r="U337" s="337"/>
      <c r="V337" s="337"/>
      <c r="W337" s="337"/>
      <c r="X337" s="337"/>
      <c r="Y337" s="337"/>
      <c r="Z337" s="337"/>
      <c r="AA337" s="337"/>
      <c r="AB337" s="337"/>
      <c r="AC337" s="337"/>
      <c r="AD337" s="337"/>
      <c r="AE337" s="337"/>
      <c r="AF337" s="337"/>
      <c r="AG337" s="337"/>
      <c r="AH337" s="337"/>
      <c r="AI337" s="337"/>
      <c r="AJ337" s="337"/>
      <c r="AK337" s="337"/>
      <c r="AL337" s="337"/>
      <c r="AM337" s="337"/>
    </row>
    <row r="338" spans="1:39" s="332" customFormat="1">
      <c r="A338" s="45"/>
      <c r="C338" s="155"/>
      <c r="D338" s="155"/>
      <c r="E338" s="155"/>
      <c r="F338" s="155"/>
      <c r="G338" s="155"/>
      <c r="H338" s="155"/>
      <c r="I338" s="155"/>
      <c r="J338" s="337"/>
      <c r="K338" s="337"/>
      <c r="L338" s="337"/>
      <c r="M338" s="337"/>
      <c r="N338" s="337"/>
      <c r="O338" s="337"/>
      <c r="P338" s="337"/>
      <c r="Q338" s="337"/>
      <c r="R338" s="337"/>
      <c r="S338" s="337"/>
      <c r="T338" s="337"/>
      <c r="U338" s="337"/>
      <c r="V338" s="337"/>
      <c r="W338" s="337"/>
      <c r="X338" s="337"/>
      <c r="Y338" s="337"/>
      <c r="Z338" s="337"/>
      <c r="AA338" s="337"/>
      <c r="AB338" s="337"/>
      <c r="AC338" s="337"/>
      <c r="AD338" s="337"/>
      <c r="AE338" s="337"/>
      <c r="AF338" s="337"/>
      <c r="AG338" s="337"/>
      <c r="AH338" s="337"/>
      <c r="AI338" s="337"/>
      <c r="AJ338" s="337"/>
      <c r="AK338" s="337"/>
      <c r="AL338" s="337"/>
      <c r="AM338" s="337"/>
    </row>
    <row r="339" spans="1:39" s="332" customFormat="1">
      <c r="A339" s="45"/>
      <c r="C339" s="155"/>
      <c r="D339" s="155"/>
      <c r="E339" s="155"/>
      <c r="F339" s="155"/>
      <c r="G339" s="155"/>
      <c r="H339" s="155"/>
      <c r="I339" s="155"/>
      <c r="J339" s="337"/>
      <c r="K339" s="337"/>
      <c r="L339" s="337"/>
      <c r="M339" s="337"/>
      <c r="N339" s="337"/>
      <c r="O339" s="337"/>
      <c r="P339" s="337"/>
      <c r="Q339" s="337"/>
      <c r="R339" s="337"/>
      <c r="S339" s="337"/>
      <c r="T339" s="337"/>
      <c r="U339" s="337"/>
      <c r="V339" s="337"/>
      <c r="W339" s="337"/>
      <c r="X339" s="337"/>
      <c r="Y339" s="337"/>
      <c r="Z339" s="337"/>
      <c r="AA339" s="337"/>
      <c r="AB339" s="337"/>
      <c r="AC339" s="337"/>
      <c r="AD339" s="337"/>
      <c r="AE339" s="337"/>
      <c r="AF339" s="337"/>
      <c r="AG339" s="337"/>
      <c r="AH339" s="337"/>
      <c r="AI339" s="337"/>
      <c r="AJ339" s="337"/>
      <c r="AK339" s="337"/>
      <c r="AL339" s="337"/>
      <c r="AM339" s="337"/>
    </row>
    <row r="340" spans="1:39" s="332" customFormat="1">
      <c r="A340" s="45"/>
      <c r="C340" s="155"/>
      <c r="D340" s="155"/>
      <c r="E340" s="155"/>
      <c r="F340" s="155"/>
      <c r="G340" s="155"/>
      <c r="H340" s="155"/>
      <c r="I340" s="155"/>
      <c r="J340" s="337"/>
      <c r="K340" s="337"/>
      <c r="L340" s="337"/>
      <c r="M340" s="337"/>
      <c r="N340" s="337"/>
      <c r="O340" s="337"/>
      <c r="P340" s="337"/>
      <c r="Q340" s="337"/>
      <c r="R340" s="337"/>
      <c r="S340" s="337"/>
      <c r="T340" s="337"/>
      <c r="U340" s="337"/>
      <c r="V340" s="337"/>
      <c r="W340" s="337"/>
      <c r="X340" s="337"/>
      <c r="Y340" s="337"/>
      <c r="Z340" s="337"/>
      <c r="AA340" s="337"/>
      <c r="AB340" s="337"/>
      <c r="AC340" s="337"/>
      <c r="AD340" s="337"/>
      <c r="AE340" s="337"/>
      <c r="AF340" s="337"/>
      <c r="AG340" s="337"/>
      <c r="AH340" s="337"/>
      <c r="AI340" s="337"/>
      <c r="AJ340" s="337"/>
      <c r="AK340" s="337"/>
      <c r="AL340" s="337"/>
      <c r="AM340" s="337"/>
    </row>
    <row r="341" spans="1:39" s="332" customFormat="1">
      <c r="A341" s="45"/>
      <c r="C341" s="155"/>
      <c r="D341" s="155"/>
      <c r="E341" s="155"/>
      <c r="F341" s="155"/>
      <c r="G341" s="155"/>
      <c r="H341" s="155"/>
      <c r="I341" s="155"/>
      <c r="J341" s="337"/>
      <c r="K341" s="337"/>
      <c r="L341" s="337"/>
      <c r="M341" s="337"/>
      <c r="N341" s="337"/>
      <c r="O341" s="337"/>
      <c r="P341" s="337"/>
      <c r="Q341" s="337"/>
      <c r="R341" s="337"/>
      <c r="S341" s="337"/>
      <c r="T341" s="337"/>
      <c r="U341" s="337"/>
      <c r="V341" s="337"/>
      <c r="W341" s="337"/>
      <c r="X341" s="337"/>
      <c r="Y341" s="337"/>
      <c r="Z341" s="337"/>
      <c r="AA341" s="337"/>
      <c r="AB341" s="337"/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</row>
    <row r="342" spans="1:39" s="332" customFormat="1">
      <c r="A342" s="45"/>
      <c r="C342" s="155"/>
      <c r="D342" s="155"/>
      <c r="E342" s="155"/>
      <c r="F342" s="155"/>
      <c r="G342" s="155"/>
      <c r="H342" s="155"/>
      <c r="I342" s="155"/>
      <c r="J342" s="337"/>
      <c r="K342" s="337"/>
      <c r="L342" s="337"/>
      <c r="M342" s="337"/>
      <c r="N342" s="337"/>
      <c r="O342" s="337"/>
      <c r="P342" s="337"/>
      <c r="Q342" s="337"/>
      <c r="R342" s="337"/>
      <c r="S342" s="337"/>
      <c r="T342" s="337"/>
      <c r="U342" s="337"/>
      <c r="V342" s="337"/>
      <c r="W342" s="337"/>
      <c r="X342" s="337"/>
      <c r="Y342" s="337"/>
      <c r="Z342" s="337"/>
      <c r="AA342" s="337"/>
      <c r="AB342" s="337"/>
      <c r="AC342" s="337"/>
      <c r="AD342" s="337"/>
      <c r="AE342" s="337"/>
      <c r="AF342" s="337"/>
      <c r="AG342" s="337"/>
      <c r="AH342" s="337"/>
      <c r="AI342" s="337"/>
      <c r="AJ342" s="337"/>
      <c r="AK342" s="337"/>
      <c r="AL342" s="337"/>
      <c r="AM342" s="337"/>
    </row>
    <row r="343" spans="1:39" s="332" customFormat="1">
      <c r="A343" s="45"/>
      <c r="C343" s="155"/>
      <c r="D343" s="155"/>
      <c r="E343" s="155"/>
      <c r="F343" s="155"/>
      <c r="G343" s="155"/>
      <c r="H343" s="155"/>
      <c r="I343" s="155"/>
      <c r="J343" s="337"/>
      <c r="K343" s="337"/>
      <c r="L343" s="337"/>
      <c r="M343" s="337"/>
      <c r="N343" s="337"/>
      <c r="O343" s="337"/>
      <c r="P343" s="337"/>
      <c r="Q343" s="337"/>
      <c r="R343" s="337"/>
      <c r="S343" s="337"/>
      <c r="T343" s="337"/>
      <c r="U343" s="337"/>
      <c r="V343" s="337"/>
      <c r="W343" s="337"/>
      <c r="X343" s="337"/>
      <c r="Y343" s="337"/>
      <c r="Z343" s="337"/>
      <c r="AA343" s="337"/>
      <c r="AB343" s="337"/>
      <c r="AC343" s="337"/>
      <c r="AD343" s="337"/>
      <c r="AE343" s="337"/>
      <c r="AF343" s="337"/>
      <c r="AG343" s="337"/>
      <c r="AH343" s="337"/>
      <c r="AI343" s="337"/>
      <c r="AJ343" s="337"/>
      <c r="AK343" s="337"/>
      <c r="AL343" s="337"/>
      <c r="AM343" s="337"/>
    </row>
    <row r="344" spans="1:39" s="332" customFormat="1">
      <c r="A344" s="45"/>
      <c r="C344" s="155"/>
      <c r="D344" s="155"/>
      <c r="E344" s="155"/>
      <c r="F344" s="155"/>
      <c r="G344" s="155"/>
      <c r="H344" s="155"/>
      <c r="I344" s="155"/>
      <c r="J344" s="337"/>
      <c r="K344" s="337"/>
      <c r="L344" s="337"/>
      <c r="M344" s="337"/>
      <c r="N344" s="337"/>
      <c r="O344" s="337"/>
      <c r="P344" s="337"/>
      <c r="Q344" s="337"/>
      <c r="R344" s="337"/>
      <c r="S344" s="337"/>
      <c r="T344" s="337"/>
      <c r="U344" s="337"/>
      <c r="V344" s="337"/>
      <c r="W344" s="337"/>
      <c r="X344" s="337"/>
      <c r="Y344" s="337"/>
      <c r="Z344" s="337"/>
      <c r="AA344" s="337"/>
      <c r="AB344" s="337"/>
      <c r="AC344" s="337"/>
      <c r="AD344" s="337"/>
      <c r="AE344" s="337"/>
      <c r="AF344" s="337"/>
      <c r="AG344" s="337"/>
      <c r="AH344" s="337"/>
      <c r="AI344" s="337"/>
      <c r="AJ344" s="337"/>
      <c r="AK344" s="337"/>
      <c r="AL344" s="337"/>
      <c r="AM344" s="337"/>
    </row>
    <row r="345" spans="1:39" s="332" customFormat="1">
      <c r="A345" s="45"/>
      <c r="C345" s="155"/>
      <c r="D345" s="155"/>
      <c r="E345" s="155"/>
      <c r="F345" s="155"/>
      <c r="G345" s="155"/>
      <c r="H345" s="155"/>
      <c r="I345" s="155"/>
      <c r="J345" s="337"/>
      <c r="K345" s="337"/>
      <c r="L345" s="337"/>
      <c r="M345" s="337"/>
      <c r="N345" s="337"/>
      <c r="O345" s="337"/>
      <c r="P345" s="337"/>
      <c r="Q345" s="337"/>
      <c r="R345" s="337"/>
      <c r="S345" s="337"/>
      <c r="T345" s="337"/>
      <c r="U345" s="337"/>
      <c r="V345" s="337"/>
      <c r="W345" s="337"/>
      <c r="X345" s="337"/>
      <c r="Y345" s="337"/>
      <c r="Z345" s="337"/>
      <c r="AA345" s="337"/>
      <c r="AB345" s="337"/>
      <c r="AC345" s="337"/>
      <c r="AD345" s="337"/>
      <c r="AE345" s="337"/>
      <c r="AF345" s="337"/>
      <c r="AG345" s="337"/>
      <c r="AH345" s="337"/>
      <c r="AI345" s="337"/>
      <c r="AJ345" s="337"/>
      <c r="AK345" s="337"/>
      <c r="AL345" s="337"/>
      <c r="AM345" s="337"/>
    </row>
    <row r="346" spans="1:39" s="332" customFormat="1">
      <c r="A346" s="45"/>
      <c r="C346" s="155"/>
      <c r="D346" s="155"/>
      <c r="E346" s="155"/>
      <c r="F346" s="155"/>
      <c r="G346" s="155"/>
      <c r="H346" s="155"/>
      <c r="I346" s="155"/>
      <c r="J346" s="337"/>
      <c r="K346" s="337"/>
      <c r="L346" s="337"/>
      <c r="M346" s="337"/>
      <c r="N346" s="337"/>
      <c r="O346" s="337"/>
      <c r="P346" s="337"/>
      <c r="Q346" s="337"/>
      <c r="R346" s="337"/>
      <c r="S346" s="337"/>
      <c r="T346" s="337"/>
      <c r="U346" s="337"/>
      <c r="V346" s="337"/>
      <c r="W346" s="337"/>
      <c r="X346" s="337"/>
      <c r="Y346" s="337"/>
      <c r="Z346" s="337"/>
      <c r="AA346" s="337"/>
      <c r="AB346" s="337"/>
      <c r="AC346" s="337"/>
      <c r="AD346" s="337"/>
      <c r="AE346" s="337"/>
      <c r="AF346" s="337"/>
      <c r="AG346" s="337"/>
      <c r="AH346" s="337"/>
      <c r="AI346" s="337"/>
      <c r="AJ346" s="337"/>
      <c r="AK346" s="337"/>
      <c r="AL346" s="337"/>
      <c r="AM346" s="337"/>
    </row>
  </sheetData>
  <mergeCells count="25">
    <mergeCell ref="C121:J121"/>
    <mergeCell ref="L121:N121"/>
    <mergeCell ref="O3:O4"/>
    <mergeCell ref="P3:P4"/>
    <mergeCell ref="A107:N107"/>
    <mergeCell ref="A110:N110"/>
    <mergeCell ref="A120:B120"/>
    <mergeCell ref="C120:J120"/>
    <mergeCell ref="L120:N120"/>
    <mergeCell ref="A1:P1"/>
    <mergeCell ref="P20:P21"/>
    <mergeCell ref="P40:P41"/>
    <mergeCell ref="J3:J4"/>
    <mergeCell ref="K3:N3"/>
    <mergeCell ref="A6:N6"/>
    <mergeCell ref="F3:F4"/>
    <mergeCell ref="G3:G4"/>
    <mergeCell ref="H3:H4"/>
    <mergeCell ref="I3:I4"/>
    <mergeCell ref="A3:A4"/>
    <mergeCell ref="B3:B4"/>
    <mergeCell ref="C3:C4"/>
    <mergeCell ref="D3:D4"/>
    <mergeCell ref="E3:E4"/>
    <mergeCell ref="P24:P26"/>
  </mergeCells>
  <pageMargins left="0.70866141732283472" right="0" top="0.78740157480314965" bottom="0.19685039370078741" header="0.19685039370078741" footer="0.11811023622047245"/>
  <pageSetup paperSize="9" scale="55" fitToHeight="3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4:J104"/>
  <sheetViews>
    <sheetView view="pageBreakPreview" zoomScale="75" zoomScaleNormal="75" zoomScaleSheetLayoutView="75" workbookViewId="0">
      <selection activeCell="D17" sqref="D17"/>
    </sheetView>
  </sheetViews>
  <sheetFormatPr defaultRowHeight="18.75" outlineLevelRow="1"/>
  <cols>
    <col min="1" max="1" width="83.140625" style="2" customWidth="1"/>
    <col min="2" max="2" width="10.7109375" style="2" customWidth="1"/>
    <col min="3" max="3" width="13" style="2" customWidth="1"/>
    <col min="4" max="4" width="15.85546875" style="2" customWidth="1"/>
    <col min="5" max="5" width="12.42578125" style="2" customWidth="1"/>
    <col min="6" max="6" width="12.7109375" style="2" customWidth="1"/>
    <col min="7" max="7" width="11" style="2" customWidth="1"/>
    <col min="8" max="8" width="10.28515625" style="2" customWidth="1"/>
    <col min="9" max="9" width="11.42578125" style="2" customWidth="1"/>
    <col min="10" max="10" width="10.7109375" style="2" customWidth="1"/>
    <col min="11" max="16384" width="9.140625" style="2"/>
  </cols>
  <sheetData>
    <row r="4" spans="1:10">
      <c r="A4" s="392" t="s">
        <v>299</v>
      </c>
      <c r="B4" s="392"/>
      <c r="C4" s="392"/>
      <c r="D4" s="392"/>
      <c r="E4" s="392"/>
      <c r="F4" s="392"/>
      <c r="G4" s="392"/>
      <c r="H4" s="392"/>
      <c r="I4" s="392"/>
      <c r="J4" s="392"/>
    </row>
    <row r="5" spans="1:10" outlineLevel="1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t="48" customHeight="1">
      <c r="A6" s="510" t="s">
        <v>195</v>
      </c>
      <c r="B6" s="512" t="s">
        <v>0</v>
      </c>
      <c r="C6" s="512" t="s">
        <v>16</v>
      </c>
      <c r="D6" s="437" t="s">
        <v>284</v>
      </c>
      <c r="E6" s="467" t="s">
        <v>282</v>
      </c>
      <c r="F6" s="430" t="s">
        <v>8</v>
      </c>
      <c r="G6" s="430" t="s">
        <v>283</v>
      </c>
      <c r="H6" s="430"/>
      <c r="I6" s="430"/>
      <c r="J6" s="430"/>
    </row>
    <row r="7" spans="1:10" ht="38.25" customHeight="1">
      <c r="A7" s="511"/>
      <c r="B7" s="512"/>
      <c r="C7" s="512"/>
      <c r="D7" s="457"/>
      <c r="E7" s="513"/>
      <c r="F7" s="430"/>
      <c r="G7" s="16" t="s">
        <v>155</v>
      </c>
      <c r="H7" s="16" t="s">
        <v>156</v>
      </c>
      <c r="I7" s="16" t="s">
        <v>157</v>
      </c>
      <c r="J7" s="16" t="s">
        <v>58</v>
      </c>
    </row>
    <row r="8" spans="1:10" ht="18" customHeight="1">
      <c r="A8" s="7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s="54" customFormat="1" ht="30.75" customHeight="1">
      <c r="A9" s="427" t="s">
        <v>130</v>
      </c>
      <c r="B9" s="427"/>
      <c r="C9" s="427"/>
      <c r="D9" s="427"/>
      <c r="E9" s="427"/>
      <c r="F9" s="427"/>
      <c r="G9" s="427"/>
      <c r="H9" s="427"/>
      <c r="I9" s="427"/>
      <c r="J9" s="427"/>
    </row>
    <row r="10" spans="1:10" ht="20.100000000000001" customHeight="1">
      <c r="A10" s="41" t="s">
        <v>143</v>
      </c>
      <c r="B10" s="9">
        <v>1200</v>
      </c>
      <c r="C10" s="13">
        <f>'1.Фінансовий результат'!C106</f>
        <v>-142.50000000000065</v>
      </c>
      <c r="D10" s="13" t="e">
        <f>'1.Фінансовий результат'!#REF!</f>
        <v>#REF!</v>
      </c>
      <c r="E10" s="13" t="e">
        <f>'1.Фінансовий результат'!#REF!</f>
        <v>#REF!</v>
      </c>
      <c r="F10" s="13">
        <f>'1.Фінансовий результат'!J106</f>
        <v>84.599999999999909</v>
      </c>
      <c r="G10" s="13">
        <f>'1.Фінансовий результат'!K106</f>
        <v>35.850000000000179</v>
      </c>
      <c r="H10" s="13">
        <f>'1.Фінансовий результат'!L106</f>
        <v>19.049999999999997</v>
      </c>
      <c r="I10" s="13">
        <f>'1.Фінансовий результат'!M106</f>
        <v>19.950000000000628</v>
      </c>
      <c r="J10" s="13">
        <f>'1.Фінансовий результат'!N106</f>
        <v>9.7500000000005258</v>
      </c>
    </row>
    <row r="11" spans="1:10" ht="20.100000000000001" customHeight="1">
      <c r="A11" s="41" t="s">
        <v>144</v>
      </c>
      <c r="B11" s="17"/>
      <c r="C11" s="75"/>
      <c r="D11" s="75"/>
      <c r="E11" s="75"/>
      <c r="F11" s="75"/>
      <c r="G11" s="75"/>
      <c r="H11" s="75"/>
      <c r="I11" s="75"/>
      <c r="J11" s="75"/>
    </row>
    <row r="12" spans="1:10" ht="20.100000000000001" customHeight="1">
      <c r="A12" s="41" t="s">
        <v>147</v>
      </c>
      <c r="B12" s="6">
        <v>3000</v>
      </c>
      <c r="C12" s="13"/>
      <c r="D12" s="13"/>
      <c r="E12" s="13"/>
      <c r="F12" s="13"/>
      <c r="G12" s="13"/>
      <c r="H12" s="13"/>
      <c r="I12" s="13"/>
      <c r="J12" s="13"/>
    </row>
    <row r="13" spans="1:10" ht="20.100000000000001" customHeight="1">
      <c r="A13" s="41" t="s">
        <v>148</v>
      </c>
      <c r="B13" s="6">
        <v>3010</v>
      </c>
      <c r="C13" s="13"/>
      <c r="D13" s="13"/>
      <c r="E13" s="13"/>
      <c r="F13" s="13"/>
      <c r="G13" s="13"/>
      <c r="H13" s="13"/>
      <c r="I13" s="13"/>
      <c r="J13" s="13"/>
    </row>
    <row r="14" spans="1:10" ht="20.100000000000001" customHeight="1">
      <c r="A14" s="41" t="s">
        <v>149</v>
      </c>
      <c r="B14" s="6">
        <v>3020</v>
      </c>
      <c r="C14" s="13"/>
      <c r="D14" s="13"/>
      <c r="E14" s="13"/>
      <c r="F14" s="13"/>
      <c r="G14" s="13"/>
      <c r="H14" s="13"/>
      <c r="I14" s="13"/>
      <c r="J14" s="13"/>
    </row>
    <row r="15" spans="1:10" ht="42.75" customHeight="1">
      <c r="A15" s="41" t="s">
        <v>150</v>
      </c>
      <c r="B15" s="6">
        <v>3030</v>
      </c>
      <c r="C15" s="13"/>
      <c r="D15" s="13"/>
      <c r="E15" s="13"/>
      <c r="F15" s="13"/>
      <c r="G15" s="13"/>
      <c r="H15" s="13"/>
      <c r="I15" s="13"/>
      <c r="J15" s="13"/>
    </row>
    <row r="16" spans="1:10" ht="42.75" customHeight="1">
      <c r="A16" s="53" t="s">
        <v>187</v>
      </c>
      <c r="B16" s="6">
        <v>3040</v>
      </c>
      <c r="C16" s="13"/>
      <c r="D16" s="13"/>
      <c r="E16" s="13"/>
      <c r="F16" s="13"/>
      <c r="G16" s="13"/>
      <c r="H16" s="13"/>
      <c r="I16" s="13"/>
      <c r="J16" s="13"/>
    </row>
    <row r="17" spans="1:10" ht="20.100000000000001" customHeight="1">
      <c r="A17" s="41" t="s">
        <v>151</v>
      </c>
      <c r="B17" s="6">
        <v>3050</v>
      </c>
      <c r="C17" s="13"/>
      <c r="D17" s="13"/>
      <c r="E17" s="13"/>
      <c r="F17" s="13"/>
      <c r="G17" s="13"/>
      <c r="H17" s="13"/>
      <c r="I17" s="13"/>
      <c r="J17" s="13"/>
    </row>
    <row r="18" spans="1:10" ht="20.100000000000001" customHeight="1">
      <c r="A18" s="41" t="s">
        <v>152</v>
      </c>
      <c r="B18" s="6">
        <v>3060</v>
      </c>
      <c r="C18" s="13"/>
      <c r="D18" s="13"/>
      <c r="E18" s="13"/>
      <c r="F18" s="13"/>
      <c r="G18" s="13"/>
      <c r="H18" s="13"/>
      <c r="I18" s="13"/>
      <c r="J18" s="13"/>
    </row>
    <row r="19" spans="1:10" ht="20.100000000000001" customHeight="1">
      <c r="A19" s="53" t="s">
        <v>145</v>
      </c>
      <c r="B19" s="6">
        <v>3070</v>
      </c>
      <c r="C19" s="13"/>
      <c r="D19" s="13"/>
      <c r="E19" s="13"/>
      <c r="F19" s="13"/>
      <c r="G19" s="13"/>
      <c r="H19" s="13"/>
      <c r="I19" s="13"/>
      <c r="J19" s="13"/>
    </row>
    <row r="20" spans="1:10" ht="20.100000000000001" customHeight="1">
      <c r="A20" s="41" t="s">
        <v>146</v>
      </c>
      <c r="B20" s="6">
        <v>3080</v>
      </c>
      <c r="C20" s="13"/>
      <c r="D20" s="13"/>
      <c r="E20" s="13"/>
      <c r="F20" s="13"/>
      <c r="G20" s="13"/>
      <c r="H20" s="13"/>
      <c r="I20" s="13"/>
      <c r="J20" s="13"/>
    </row>
    <row r="21" spans="1:10" ht="20.100000000000001" customHeight="1">
      <c r="A21" s="10" t="s">
        <v>129</v>
      </c>
      <c r="B21" s="6">
        <v>3090</v>
      </c>
      <c r="C21" s="13"/>
      <c r="D21" s="13"/>
      <c r="E21" s="13"/>
      <c r="F21" s="13"/>
      <c r="G21" s="13"/>
      <c r="H21" s="13"/>
      <c r="I21" s="13"/>
      <c r="J21" s="13"/>
    </row>
    <row r="22" spans="1:10" ht="33.75" customHeight="1">
      <c r="A22" s="427" t="s">
        <v>131</v>
      </c>
      <c r="B22" s="427"/>
      <c r="C22" s="427"/>
      <c r="D22" s="427"/>
      <c r="E22" s="427"/>
      <c r="F22" s="427"/>
      <c r="G22" s="427"/>
      <c r="H22" s="427"/>
      <c r="I22" s="427"/>
      <c r="J22" s="427"/>
    </row>
    <row r="23" spans="1:10" ht="20.100000000000001" customHeight="1">
      <c r="A23" s="53" t="s">
        <v>198</v>
      </c>
      <c r="B23" s="9"/>
      <c r="C23" s="13"/>
      <c r="D23" s="13"/>
      <c r="E23" s="13"/>
      <c r="F23" s="13"/>
      <c r="G23" s="13"/>
      <c r="H23" s="13"/>
      <c r="I23" s="13"/>
      <c r="J23" s="13"/>
    </row>
    <row r="24" spans="1:10" ht="20.100000000000001" customHeight="1">
      <c r="A24" s="8" t="s">
        <v>17</v>
      </c>
      <c r="B24" s="9">
        <v>3200</v>
      </c>
      <c r="C24" s="117"/>
      <c r="D24" s="117"/>
      <c r="E24" s="117"/>
      <c r="F24" s="117"/>
      <c r="G24" s="117"/>
      <c r="H24" s="117"/>
      <c r="I24" s="117"/>
      <c r="J24" s="117"/>
    </row>
    <row r="25" spans="1:10" ht="20.100000000000001" customHeight="1">
      <c r="A25" s="8" t="s">
        <v>18</v>
      </c>
      <c r="B25" s="9">
        <v>3210</v>
      </c>
      <c r="C25" s="117"/>
      <c r="D25" s="117"/>
      <c r="E25" s="117"/>
      <c r="F25" s="117"/>
      <c r="G25" s="117"/>
      <c r="H25" s="117"/>
      <c r="I25" s="117"/>
      <c r="J25" s="117"/>
    </row>
    <row r="26" spans="1:10" ht="20.100000000000001" customHeight="1">
      <c r="A26" s="8" t="s">
        <v>39</v>
      </c>
      <c r="B26" s="9">
        <v>3220</v>
      </c>
      <c r="C26" s="117"/>
      <c r="D26" s="117"/>
      <c r="E26" s="117"/>
      <c r="F26" s="117"/>
      <c r="G26" s="117"/>
      <c r="H26" s="117"/>
      <c r="I26" s="117"/>
      <c r="J26" s="117"/>
    </row>
    <row r="27" spans="1:10" ht="20.100000000000001" customHeight="1">
      <c r="A27" s="41" t="s">
        <v>135</v>
      </c>
      <c r="B27" s="9"/>
      <c r="C27" s="13"/>
      <c r="D27" s="13"/>
      <c r="E27" s="13"/>
      <c r="F27" s="13"/>
      <c r="G27" s="13"/>
      <c r="H27" s="13"/>
      <c r="I27" s="13"/>
      <c r="J27" s="13"/>
    </row>
    <row r="28" spans="1:10" ht="20.100000000000001" customHeight="1">
      <c r="A28" s="8" t="s">
        <v>136</v>
      </c>
      <c r="B28" s="9">
        <v>3230</v>
      </c>
      <c r="C28" s="117"/>
      <c r="D28" s="117"/>
      <c r="E28" s="117"/>
      <c r="F28" s="117"/>
      <c r="G28" s="117"/>
      <c r="H28" s="117"/>
      <c r="I28" s="117"/>
      <c r="J28" s="117"/>
    </row>
    <row r="29" spans="1:10" ht="20.100000000000001" customHeight="1">
      <c r="A29" s="8" t="s">
        <v>137</v>
      </c>
      <c r="B29" s="9">
        <v>3240</v>
      </c>
      <c r="C29" s="117"/>
      <c r="D29" s="117"/>
      <c r="E29" s="117"/>
      <c r="F29" s="117"/>
      <c r="G29" s="117"/>
      <c r="H29" s="117"/>
      <c r="I29" s="117"/>
      <c r="J29" s="117"/>
    </row>
    <row r="30" spans="1:10" ht="20.100000000000001" customHeight="1">
      <c r="A30" s="41" t="s">
        <v>138</v>
      </c>
      <c r="B30" s="9">
        <v>3250</v>
      </c>
      <c r="C30" s="117"/>
      <c r="D30" s="117"/>
      <c r="E30" s="117"/>
      <c r="F30" s="117"/>
      <c r="G30" s="117"/>
      <c r="H30" s="117"/>
      <c r="I30" s="117"/>
      <c r="J30" s="117"/>
    </row>
    <row r="31" spans="1:10" ht="20.100000000000001" customHeight="1">
      <c r="A31" s="8" t="s">
        <v>100</v>
      </c>
      <c r="B31" s="9">
        <v>3260</v>
      </c>
      <c r="C31" s="117"/>
      <c r="D31" s="117"/>
      <c r="E31" s="117"/>
      <c r="F31" s="117"/>
      <c r="G31" s="117"/>
      <c r="H31" s="117"/>
      <c r="I31" s="117"/>
      <c r="J31" s="117"/>
    </row>
    <row r="32" spans="1:10" ht="20.100000000000001" customHeight="1">
      <c r="A32" s="53" t="s">
        <v>200</v>
      </c>
      <c r="B32" s="9"/>
      <c r="C32" s="13"/>
      <c r="D32" s="13"/>
      <c r="E32" s="13"/>
      <c r="F32" s="13"/>
      <c r="G32" s="13"/>
      <c r="H32" s="13"/>
      <c r="I32" s="13"/>
      <c r="J32" s="13"/>
    </row>
    <row r="33" spans="1:10" ht="20.100000000000001" customHeight="1">
      <c r="A33" s="8" t="s">
        <v>101</v>
      </c>
      <c r="B33" s="9">
        <v>3270</v>
      </c>
      <c r="C33" s="117"/>
      <c r="D33" s="117"/>
      <c r="E33" s="117"/>
      <c r="F33" s="117"/>
      <c r="G33" s="117"/>
      <c r="H33" s="117"/>
      <c r="I33" s="117"/>
      <c r="J33" s="117"/>
    </row>
    <row r="34" spans="1:10" ht="20.100000000000001" customHeight="1">
      <c r="A34" s="8" t="s">
        <v>102</v>
      </c>
      <c r="B34" s="9">
        <v>3280</v>
      </c>
      <c r="C34" s="117"/>
      <c r="D34" s="117"/>
      <c r="E34" s="117"/>
      <c r="F34" s="117"/>
      <c r="G34" s="117"/>
      <c r="H34" s="117"/>
      <c r="I34" s="117"/>
      <c r="J34" s="117"/>
    </row>
    <row r="35" spans="1:10" ht="20.100000000000001" customHeight="1">
      <c r="A35" s="8" t="s">
        <v>103</v>
      </c>
      <c r="B35" s="9">
        <v>3290</v>
      </c>
      <c r="C35" s="117"/>
      <c r="D35" s="117"/>
      <c r="E35" s="117"/>
      <c r="F35" s="117"/>
      <c r="G35" s="117"/>
      <c r="H35" s="117"/>
      <c r="I35" s="117"/>
      <c r="J35" s="117"/>
    </row>
    <row r="36" spans="1:10" ht="20.100000000000001" customHeight="1">
      <c r="A36" s="8" t="s">
        <v>40</v>
      </c>
      <c r="B36" s="9">
        <v>3300</v>
      </c>
      <c r="C36" s="129"/>
      <c r="D36" s="129"/>
      <c r="E36" s="129"/>
      <c r="F36" s="117"/>
      <c r="G36" s="117"/>
      <c r="H36" s="117"/>
      <c r="I36" s="117"/>
      <c r="J36" s="117"/>
    </row>
    <row r="37" spans="1:10" ht="20.100000000000001" customHeight="1">
      <c r="A37" s="8" t="s">
        <v>94</v>
      </c>
      <c r="B37" s="9">
        <v>3310</v>
      </c>
      <c r="C37" s="117"/>
      <c r="D37" s="117"/>
      <c r="E37" s="117"/>
      <c r="F37" s="117"/>
      <c r="G37" s="117"/>
      <c r="H37" s="117"/>
      <c r="I37" s="117"/>
      <c r="J37" s="117"/>
    </row>
    <row r="38" spans="1:10" ht="20.100000000000001" customHeight="1">
      <c r="A38" s="53" t="s">
        <v>132</v>
      </c>
      <c r="B38" s="9">
        <v>3320</v>
      </c>
      <c r="C38" s="117"/>
      <c r="D38" s="117"/>
      <c r="E38" s="117"/>
      <c r="F38" s="117"/>
      <c r="G38" s="117"/>
      <c r="H38" s="117"/>
      <c r="I38" s="117"/>
      <c r="J38" s="117"/>
    </row>
    <row r="39" spans="1:10" ht="36.75" customHeight="1">
      <c r="A39" s="427" t="s">
        <v>133</v>
      </c>
      <c r="B39" s="427"/>
      <c r="C39" s="427"/>
      <c r="D39" s="427"/>
      <c r="E39" s="427"/>
      <c r="F39" s="427"/>
      <c r="G39" s="427"/>
      <c r="H39" s="427"/>
      <c r="I39" s="427"/>
      <c r="J39" s="427"/>
    </row>
    <row r="40" spans="1:10" ht="20.100000000000001" customHeight="1">
      <c r="A40" s="53" t="s">
        <v>199</v>
      </c>
      <c r="B40" s="9"/>
      <c r="C40" s="75"/>
      <c r="D40" s="75"/>
      <c r="E40" s="75"/>
      <c r="F40" s="75"/>
      <c r="G40" s="75"/>
      <c r="H40" s="75"/>
      <c r="I40" s="75"/>
      <c r="J40" s="75"/>
    </row>
    <row r="41" spans="1:10" ht="20.100000000000001" customHeight="1">
      <c r="A41" s="41" t="s">
        <v>139</v>
      </c>
      <c r="B41" s="9">
        <v>3400</v>
      </c>
      <c r="C41" s="13"/>
      <c r="D41" s="13"/>
      <c r="E41" s="13"/>
      <c r="F41" s="13"/>
      <c r="G41" s="13"/>
      <c r="H41" s="13"/>
      <c r="I41" s="13"/>
      <c r="J41" s="13"/>
    </row>
    <row r="42" spans="1:10" ht="20.100000000000001" customHeight="1">
      <c r="A42" s="8" t="s">
        <v>76</v>
      </c>
      <c r="B42" s="4"/>
      <c r="C42" s="75"/>
      <c r="D42" s="75"/>
      <c r="E42" s="75"/>
      <c r="F42" s="75"/>
      <c r="G42" s="75"/>
      <c r="H42" s="75"/>
      <c r="I42" s="75"/>
      <c r="J42" s="75"/>
    </row>
    <row r="43" spans="1:10" ht="20.100000000000001" customHeight="1">
      <c r="A43" s="8" t="s">
        <v>75</v>
      </c>
      <c r="B43" s="9">
        <v>3410</v>
      </c>
      <c r="C43" s="13"/>
      <c r="D43" s="13"/>
      <c r="E43" s="13"/>
      <c r="F43" s="13"/>
      <c r="G43" s="13"/>
      <c r="H43" s="13"/>
      <c r="I43" s="13"/>
      <c r="J43" s="13"/>
    </row>
    <row r="44" spans="1:10" ht="20.100000000000001" customHeight="1">
      <c r="A44" s="8" t="s">
        <v>80</v>
      </c>
      <c r="B44" s="6">
        <v>3420</v>
      </c>
      <c r="C44" s="13"/>
      <c r="D44" s="13"/>
      <c r="E44" s="13"/>
      <c r="F44" s="13"/>
      <c r="G44" s="13"/>
      <c r="H44" s="13"/>
      <c r="I44" s="13"/>
      <c r="J44" s="13"/>
    </row>
    <row r="45" spans="1:10" ht="20.100000000000001" customHeight="1">
      <c r="A45" s="8" t="s">
        <v>104</v>
      </c>
      <c r="B45" s="9">
        <v>3430</v>
      </c>
      <c r="C45" s="13"/>
      <c r="D45" s="13"/>
      <c r="E45" s="13"/>
      <c r="F45" s="13"/>
      <c r="G45" s="13"/>
      <c r="H45" s="13"/>
      <c r="I45" s="13"/>
      <c r="J45" s="13"/>
    </row>
    <row r="46" spans="1:10" ht="20.100000000000001" customHeight="1">
      <c r="A46" s="8" t="s">
        <v>78</v>
      </c>
      <c r="B46" s="9"/>
      <c r="C46" s="75"/>
      <c r="D46" s="75"/>
      <c r="E46" s="75"/>
      <c r="F46" s="75"/>
      <c r="G46" s="75"/>
      <c r="H46" s="75"/>
      <c r="I46" s="75"/>
      <c r="J46" s="75"/>
    </row>
    <row r="47" spans="1:10" ht="20.100000000000001" customHeight="1">
      <c r="A47" s="8" t="s">
        <v>75</v>
      </c>
      <c r="B47" s="6">
        <v>3440</v>
      </c>
      <c r="C47" s="13"/>
      <c r="D47" s="13"/>
      <c r="E47" s="13"/>
      <c r="F47" s="13"/>
      <c r="G47" s="13"/>
      <c r="H47" s="13"/>
      <c r="I47" s="13"/>
      <c r="J47" s="13"/>
    </row>
    <row r="48" spans="1:10" ht="20.100000000000001" customHeight="1">
      <c r="A48" s="8" t="s">
        <v>80</v>
      </c>
      <c r="B48" s="6">
        <v>3450</v>
      </c>
      <c r="C48" s="13"/>
      <c r="D48" s="13"/>
      <c r="E48" s="13"/>
      <c r="F48" s="13"/>
      <c r="G48" s="13"/>
      <c r="H48" s="13"/>
      <c r="I48" s="13"/>
      <c r="J48" s="13"/>
    </row>
    <row r="49" spans="1:10" ht="20.100000000000001" customHeight="1">
      <c r="A49" s="8" t="s">
        <v>104</v>
      </c>
      <c r="B49" s="6">
        <v>3460</v>
      </c>
      <c r="C49" s="13"/>
      <c r="D49" s="13"/>
      <c r="E49" s="13"/>
      <c r="F49" s="13"/>
      <c r="G49" s="13"/>
      <c r="H49" s="13"/>
      <c r="I49" s="13"/>
      <c r="J49" s="13"/>
    </row>
    <row r="50" spans="1:10" ht="20.100000000000001" customHeight="1">
      <c r="A50" s="8" t="s">
        <v>99</v>
      </c>
      <c r="B50" s="6">
        <v>3470</v>
      </c>
      <c r="C50" s="13"/>
      <c r="D50" s="13"/>
      <c r="E50" s="13"/>
      <c r="F50" s="13"/>
      <c r="G50" s="13"/>
      <c r="H50" s="13"/>
      <c r="I50" s="13"/>
      <c r="J50" s="13"/>
    </row>
    <row r="51" spans="1:10" ht="20.100000000000001" customHeight="1">
      <c r="A51" s="8" t="s">
        <v>100</v>
      </c>
      <c r="B51" s="6">
        <v>3480</v>
      </c>
      <c r="C51" s="13"/>
      <c r="D51" s="13"/>
      <c r="E51" s="13"/>
      <c r="F51" s="13"/>
      <c r="G51" s="13"/>
      <c r="H51" s="13"/>
      <c r="I51" s="13"/>
      <c r="J51" s="13"/>
    </row>
    <row r="52" spans="1:10" ht="20.100000000000001" customHeight="1">
      <c r="A52" s="53" t="s">
        <v>200</v>
      </c>
      <c r="B52" s="9"/>
      <c r="C52" s="75"/>
      <c r="D52" s="75"/>
      <c r="E52" s="75"/>
      <c r="F52" s="75"/>
      <c r="G52" s="75"/>
      <c r="H52" s="75"/>
      <c r="I52" s="75"/>
      <c r="J52" s="75"/>
    </row>
    <row r="53" spans="1:10" ht="39.75" customHeight="1">
      <c r="A53" s="8" t="s">
        <v>213</v>
      </c>
      <c r="B53" s="9">
        <v>3490</v>
      </c>
      <c r="C53" s="13"/>
      <c r="D53" s="13"/>
      <c r="E53" s="13"/>
      <c r="F53" s="13"/>
      <c r="G53" s="13"/>
      <c r="H53" s="13"/>
      <c r="I53" s="13"/>
      <c r="J53" s="13"/>
    </row>
    <row r="54" spans="1:10" ht="20.100000000000001" customHeight="1">
      <c r="A54" s="8" t="s">
        <v>214</v>
      </c>
      <c r="B54" s="9">
        <v>3500</v>
      </c>
      <c r="C54" s="13"/>
      <c r="D54" s="13"/>
      <c r="E54" s="13"/>
      <c r="F54" s="13"/>
      <c r="G54" s="13"/>
      <c r="H54" s="13"/>
      <c r="I54" s="13"/>
      <c r="J54" s="13"/>
    </row>
    <row r="55" spans="1:10" ht="20.100000000000001" customHeight="1">
      <c r="A55" s="8" t="s">
        <v>79</v>
      </c>
      <c r="B55" s="9"/>
      <c r="C55" s="75"/>
      <c r="D55" s="75"/>
      <c r="E55" s="75"/>
      <c r="F55" s="75"/>
      <c r="G55" s="75"/>
      <c r="H55" s="75"/>
      <c r="I55" s="75"/>
      <c r="J55" s="75"/>
    </row>
    <row r="56" spans="1:10" ht="20.100000000000001" customHeight="1">
      <c r="A56" s="8" t="s">
        <v>75</v>
      </c>
      <c r="B56" s="6">
        <v>3510</v>
      </c>
      <c r="C56" s="13"/>
      <c r="D56" s="13"/>
      <c r="E56" s="13"/>
      <c r="F56" s="13"/>
      <c r="G56" s="13"/>
      <c r="H56" s="13"/>
      <c r="I56" s="13"/>
      <c r="J56" s="13"/>
    </row>
    <row r="57" spans="1:10" ht="20.100000000000001" customHeight="1">
      <c r="A57" s="8" t="s">
        <v>80</v>
      </c>
      <c r="B57" s="6">
        <v>3520</v>
      </c>
      <c r="C57" s="13"/>
      <c r="D57" s="13"/>
      <c r="E57" s="13"/>
      <c r="F57" s="13"/>
      <c r="G57" s="13"/>
      <c r="H57" s="13"/>
      <c r="I57" s="13"/>
      <c r="J57" s="13"/>
    </row>
    <row r="58" spans="1:10" ht="20.100000000000001" customHeight="1">
      <c r="A58" s="8" t="s">
        <v>104</v>
      </c>
      <c r="B58" s="6">
        <v>3530</v>
      </c>
      <c r="C58" s="13"/>
      <c r="D58" s="13"/>
      <c r="E58" s="13"/>
      <c r="F58" s="13"/>
      <c r="G58" s="13"/>
      <c r="H58" s="13"/>
      <c r="I58" s="13"/>
      <c r="J58" s="13"/>
    </row>
    <row r="59" spans="1:10" ht="20.100000000000001" customHeight="1">
      <c r="A59" s="8" t="s">
        <v>77</v>
      </c>
      <c r="B59" s="9"/>
      <c r="C59" s="75"/>
      <c r="D59" s="75"/>
      <c r="E59" s="75"/>
      <c r="F59" s="75"/>
      <c r="G59" s="75"/>
      <c r="H59" s="75"/>
      <c r="I59" s="75"/>
      <c r="J59" s="75"/>
    </row>
    <row r="60" spans="1:10" ht="20.100000000000001" customHeight="1">
      <c r="A60" s="8" t="s">
        <v>75</v>
      </c>
      <c r="B60" s="6">
        <v>3540</v>
      </c>
      <c r="C60" s="13"/>
      <c r="D60" s="13"/>
      <c r="E60" s="13"/>
      <c r="F60" s="13"/>
      <c r="G60" s="13"/>
      <c r="H60" s="13"/>
      <c r="I60" s="13"/>
      <c r="J60" s="13"/>
    </row>
    <row r="61" spans="1:10" ht="20.100000000000001" customHeight="1">
      <c r="A61" s="8" t="s">
        <v>80</v>
      </c>
      <c r="B61" s="6">
        <v>3550</v>
      </c>
      <c r="C61" s="13"/>
      <c r="D61" s="13"/>
      <c r="E61" s="13"/>
      <c r="F61" s="13"/>
      <c r="G61" s="13"/>
      <c r="H61" s="13"/>
      <c r="I61" s="13"/>
      <c r="J61" s="13"/>
    </row>
    <row r="62" spans="1:10" ht="20.100000000000001" customHeight="1">
      <c r="A62" s="8" t="s">
        <v>104</v>
      </c>
      <c r="B62" s="6">
        <v>3560</v>
      </c>
      <c r="C62" s="13"/>
      <c r="D62" s="13"/>
      <c r="E62" s="13"/>
      <c r="F62" s="13"/>
      <c r="G62" s="13"/>
      <c r="H62" s="13"/>
      <c r="I62" s="13"/>
      <c r="J62" s="13"/>
    </row>
    <row r="63" spans="1:10" ht="20.100000000000001" customHeight="1">
      <c r="A63" s="8" t="s">
        <v>94</v>
      </c>
      <c r="B63" s="6">
        <v>3570</v>
      </c>
      <c r="C63" s="13"/>
      <c r="D63" s="13"/>
      <c r="E63" s="13"/>
      <c r="F63" s="13"/>
      <c r="G63" s="13"/>
      <c r="H63" s="13"/>
      <c r="I63" s="13"/>
      <c r="J63" s="13"/>
    </row>
    <row r="64" spans="1:10" ht="20.100000000000001" customHeight="1">
      <c r="A64" s="53" t="s">
        <v>134</v>
      </c>
      <c r="B64" s="6">
        <v>3580</v>
      </c>
      <c r="C64" s="13"/>
      <c r="D64" s="13"/>
      <c r="E64" s="13"/>
      <c r="F64" s="13"/>
      <c r="G64" s="13"/>
      <c r="H64" s="13"/>
      <c r="I64" s="13"/>
      <c r="J64" s="13"/>
    </row>
    <row r="65" spans="1:10" s="18" customFormat="1" ht="20.100000000000001" customHeight="1">
      <c r="A65" s="8" t="s">
        <v>19</v>
      </c>
      <c r="B65" s="6"/>
      <c r="C65" s="75"/>
      <c r="D65" s="75"/>
      <c r="E65" s="75"/>
      <c r="F65" s="75"/>
      <c r="G65" s="75"/>
      <c r="H65" s="75"/>
      <c r="I65" s="75"/>
      <c r="J65" s="75"/>
    </row>
    <row r="66" spans="1:10" s="111" customFormat="1" ht="20.100000000000001" customHeight="1">
      <c r="A66" s="104" t="s">
        <v>20</v>
      </c>
      <c r="B66" s="128">
        <v>3600</v>
      </c>
      <c r="C66" s="124"/>
      <c r="D66" s="124"/>
      <c r="E66" s="124"/>
      <c r="F66" s="124"/>
      <c r="G66" s="124"/>
      <c r="H66" s="124"/>
      <c r="I66" s="124"/>
      <c r="J66" s="124"/>
    </row>
    <row r="67" spans="1:10" s="18" customFormat="1" ht="20.100000000000001" customHeight="1">
      <c r="A67" s="68" t="s">
        <v>140</v>
      </c>
      <c r="B67" s="6">
        <v>3610</v>
      </c>
      <c r="C67" s="76"/>
      <c r="D67" s="76"/>
      <c r="E67" s="76"/>
      <c r="F67" s="76"/>
      <c r="G67" s="76"/>
      <c r="H67" s="76"/>
      <c r="I67" s="76"/>
      <c r="J67" s="76"/>
    </row>
    <row r="68" spans="1:10" s="111" customFormat="1" ht="20.100000000000001" customHeight="1">
      <c r="A68" s="104" t="s">
        <v>41</v>
      </c>
      <c r="B68" s="128">
        <v>3620</v>
      </c>
      <c r="C68" s="124">
        <f t="shared" ref="C68:J68" si="0">C69+C66+C67</f>
        <v>0</v>
      </c>
      <c r="D68" s="124">
        <f t="shared" si="0"/>
        <v>0</v>
      </c>
      <c r="E68" s="124">
        <f t="shared" si="0"/>
        <v>0</v>
      </c>
      <c r="F68" s="124">
        <f t="shared" si="0"/>
        <v>0</v>
      </c>
      <c r="G68" s="124">
        <f t="shared" si="0"/>
        <v>0</v>
      </c>
      <c r="H68" s="124">
        <f t="shared" si="0"/>
        <v>0</v>
      </c>
      <c r="I68" s="124">
        <f t="shared" si="0"/>
        <v>0</v>
      </c>
      <c r="J68" s="124">
        <f t="shared" si="0"/>
        <v>0</v>
      </c>
    </row>
    <row r="69" spans="1:10" s="18" customFormat="1" ht="24" customHeight="1">
      <c r="A69" s="10" t="s">
        <v>21</v>
      </c>
      <c r="B69" s="86">
        <v>3630</v>
      </c>
      <c r="C69" s="113">
        <f t="shared" ref="C69:J69" si="1">C21+C38+C64</f>
        <v>0</v>
      </c>
      <c r="D69" s="113">
        <f t="shared" si="1"/>
        <v>0</v>
      </c>
      <c r="E69" s="113">
        <f t="shared" si="1"/>
        <v>0</v>
      </c>
      <c r="F69" s="113">
        <f t="shared" si="1"/>
        <v>0</v>
      </c>
      <c r="G69" s="113">
        <f t="shared" si="1"/>
        <v>0</v>
      </c>
      <c r="H69" s="113">
        <f t="shared" si="1"/>
        <v>0</v>
      </c>
      <c r="I69" s="113">
        <f t="shared" si="1"/>
        <v>0</v>
      </c>
      <c r="J69" s="113">
        <f t="shared" si="1"/>
        <v>0</v>
      </c>
    </row>
    <row r="70" spans="1:10" s="18" customFormat="1" ht="20.100000000000001" customHeight="1">
      <c r="A70" s="2"/>
      <c r="B70" s="33"/>
      <c r="C70" s="35"/>
      <c r="D70" s="35"/>
      <c r="E70" s="35"/>
      <c r="F70" s="19"/>
      <c r="G70" s="34"/>
      <c r="H70" s="34"/>
      <c r="I70" s="34"/>
      <c r="J70" s="34"/>
    </row>
    <row r="71" spans="1:10" s="18" customFormat="1" ht="20.100000000000001" customHeight="1">
      <c r="A71" s="2"/>
      <c r="B71" s="33"/>
      <c r="C71" s="35"/>
      <c r="D71" s="35"/>
      <c r="E71" s="35"/>
      <c r="F71" s="19"/>
      <c r="G71" s="34"/>
      <c r="H71" s="34"/>
      <c r="I71" s="34"/>
      <c r="J71" s="34"/>
    </row>
    <row r="72" spans="1:10" s="3" customFormat="1" ht="20.100000000000001" customHeight="1">
      <c r="A72" s="52" t="s">
        <v>206</v>
      </c>
      <c r="B72" s="1"/>
      <c r="C72" s="411" t="s">
        <v>88</v>
      </c>
      <c r="D72" s="411"/>
      <c r="E72" s="411"/>
      <c r="F72" s="412"/>
      <c r="G72" s="15"/>
      <c r="H72" s="428" t="s">
        <v>111</v>
      </c>
      <c r="I72" s="428"/>
      <c r="J72" s="428"/>
    </row>
    <row r="73" spans="1:10" ht="20.100000000000001" customHeight="1">
      <c r="A73" s="63" t="s">
        <v>207</v>
      </c>
      <c r="B73" s="3"/>
      <c r="C73" s="400" t="s">
        <v>64</v>
      </c>
      <c r="D73" s="400"/>
      <c r="E73" s="400"/>
      <c r="F73" s="400"/>
      <c r="G73" s="27"/>
      <c r="H73" s="418" t="s">
        <v>84</v>
      </c>
      <c r="I73" s="418"/>
      <c r="J73" s="418"/>
    </row>
    <row r="74" spans="1:10">
      <c r="C74" s="4"/>
      <c r="D74" s="4"/>
      <c r="E74" s="4"/>
    </row>
    <row r="75" spans="1:10">
      <c r="C75" s="4"/>
      <c r="D75" s="4"/>
      <c r="E75" s="4"/>
    </row>
    <row r="76" spans="1:10">
      <c r="C76" s="4"/>
      <c r="D76" s="4"/>
      <c r="E76" s="4"/>
    </row>
    <row r="77" spans="1:10">
      <c r="C77" s="4"/>
      <c r="D77" s="4"/>
      <c r="E77" s="4"/>
    </row>
    <row r="78" spans="1:10">
      <c r="C78" s="4"/>
      <c r="D78" s="4"/>
      <c r="E78" s="4"/>
    </row>
    <row r="79" spans="1:10">
      <c r="C79" s="4"/>
      <c r="D79" s="4"/>
      <c r="E79" s="4"/>
    </row>
    <row r="80" spans="1:10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</sheetData>
  <mergeCells count="15">
    <mergeCell ref="C73:F73"/>
    <mergeCell ref="H73:J73"/>
    <mergeCell ref="A22:J22"/>
    <mergeCell ref="A9:J9"/>
    <mergeCell ref="A39:J39"/>
    <mergeCell ref="C72:F72"/>
    <mergeCell ref="H72:J72"/>
    <mergeCell ref="A4:J4"/>
    <mergeCell ref="A6:A7"/>
    <mergeCell ref="B6:B7"/>
    <mergeCell ref="C6:C7"/>
    <mergeCell ref="F6:F7"/>
    <mergeCell ref="G6:J6"/>
    <mergeCell ref="E6:E7"/>
    <mergeCell ref="D6:D7"/>
  </mergeCells>
  <phoneticPr fontId="3" type="noConversion"/>
  <pageMargins left="0.70866141732283472" right="0.19685039370078741" top="0.78740157480314965" bottom="0.78740157480314965" header="0.19685039370078741" footer="0.23622047244094491"/>
  <pageSetup paperSize="9" scale="50" fitToHeight="0" orientation="portrait" r:id="rId1"/>
  <headerFooter alignWithMargins="0">
    <oddHeader xml:space="preserve">&amp;C&amp;"Times New Roman,обычный"&amp;14 
9&amp;R&amp;"Times New Roman,обычный"&amp;14
Продовження додатка 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Фінплан - зведені показники</vt:lpstr>
      <vt:lpstr>1.Фінансовий результат</vt:lpstr>
      <vt:lpstr>2. Розрахунки з бюджетом</vt:lpstr>
      <vt:lpstr>4. Кап. інвестиції</vt:lpstr>
      <vt:lpstr>5. Інша інформація</vt:lpstr>
      <vt:lpstr>зміни</vt:lpstr>
      <vt:lpstr>3. Рух грошових коштів</vt:lpstr>
      <vt:lpstr>Лист1</vt:lpstr>
      <vt:lpstr>'1.Фінансовий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зміни!Заголовки_для_печати</vt:lpstr>
      <vt:lpstr>'Фінплан - зведені показники'!Заголовки_для_печати</vt:lpstr>
      <vt:lpstr>'1.Фінансовий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'5. Інша інформація'!Область_печати</vt:lpstr>
      <vt:lpstr>зміни!Область_печати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Ekonomist</dc:creator>
  <cp:lastModifiedBy>11</cp:lastModifiedBy>
  <cp:lastPrinted>2020-05-28T11:11:28Z</cp:lastPrinted>
  <dcterms:created xsi:type="dcterms:W3CDTF">2003-03-13T16:00:22Z</dcterms:created>
  <dcterms:modified xsi:type="dcterms:W3CDTF">2020-05-28T11:15:19Z</dcterms:modified>
</cp:coreProperties>
</file>